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showInkAnnotation="0" codeName="ThisWorkbook" autoCompressPictures="0"/>
  <mc:AlternateContent xmlns:mc="http://schemas.openxmlformats.org/markup-compatibility/2006">
    <mc:Choice Requires="x15">
      <x15ac:absPath xmlns:x15ac="http://schemas.microsoft.com/office/spreadsheetml/2010/11/ac" url="/Users/christian/Library/Mobile Documents/com~apple~CloudDocs/COURS MÉRICI/Hiver 2021/Finance gaganante (430-853-ME)/Achalandage/"/>
    </mc:Choice>
  </mc:AlternateContent>
  <xr:revisionPtr revIDLastSave="0" documentId="8_{995C4739-5065-9048-9512-C3446E2656F3}" xr6:coauthVersionLast="46" xr6:coauthVersionMax="46" xr10:uidLastSave="{00000000-0000-0000-0000-000000000000}"/>
  <bookViews>
    <workbookView xWindow="0" yWindow="460" windowWidth="38400" windowHeight="19200" tabRatio="728" firstSheet="3" activeTab="4" xr2:uid="{00000000-000D-0000-FFFF-FFFF00000000}"/>
  </bookViews>
  <sheets>
    <sheet name="Calendrier 2021" sheetId="3" r:id="rId1"/>
    <sheet name="Achalandage 2021" sheetId="1" r:id="rId2"/>
    <sheet name="% Occupation" sheetId="2" r:id="rId3"/>
    <sheet name="Formule pour le calcul D" sheetId="5" r:id="rId4"/>
    <sheet name="État des Résultats" sheetId="6" r:id="rId5"/>
    <sheet name="Coût marchandises vendues" sheetId="7" r:id="rId6"/>
    <sheet name=" Total des coûts de MO" sheetId="9" r:id="rId7"/>
    <sheet name="Salaire (planification)" sheetId="8" r:id="rId8"/>
    <sheet name="Coût d'occupation " sheetId="10" r:id="rId9"/>
    <sheet name="Coût direct d'exploitation " sheetId="11" r:id="rId10"/>
    <sheet name="Musique &amp; Divertissement" sheetId="12" r:id="rId11"/>
    <sheet name="Mark &amp; Communication marketing" sheetId="13" r:id="rId12"/>
    <sheet name="Services publics" sheetId="14" r:id="rId13"/>
    <sheet name="Administration &amp; Frais généraux" sheetId="15" r:id="rId14"/>
    <sheet name="Entretien &amp; Réparation" sheetId="16" r:id="rId15"/>
    <sheet name="Frais financier" sheetId="17" r:id="rId16"/>
  </sheets>
  <externalReferences>
    <externalReference r:id="rId17"/>
  </externalReferences>
  <definedNames>
    <definedName name="image1" localSheetId="6">#REF!</definedName>
    <definedName name="image1" localSheetId="1">#REF!</definedName>
    <definedName name="image1" localSheetId="13">#REF!</definedName>
    <definedName name="image1" localSheetId="0">#REF!</definedName>
    <definedName name="image1" localSheetId="8">#REF!</definedName>
    <definedName name="image1" localSheetId="9">#REF!</definedName>
    <definedName name="image1" localSheetId="5">#REF!</definedName>
    <definedName name="image1" localSheetId="14">#REF!</definedName>
    <definedName name="image1" localSheetId="4">#REF!</definedName>
    <definedName name="image1" localSheetId="3">#REF!</definedName>
    <definedName name="image1" localSheetId="15">#REF!</definedName>
    <definedName name="image1" localSheetId="11">#REF!</definedName>
    <definedName name="image1" localSheetId="10">#REF!</definedName>
    <definedName name="image1" localSheetId="7">#REF!</definedName>
    <definedName name="image1" localSheetId="12">#REF!</definedName>
    <definedName name="image1">#REF!</definedName>
    <definedName name="image2" localSheetId="6">#REF!</definedName>
    <definedName name="image2" localSheetId="13">#REF!</definedName>
    <definedName name="image2" localSheetId="8">#REF!</definedName>
    <definedName name="image2" localSheetId="9">#REF!</definedName>
    <definedName name="image2" localSheetId="14">#REF!</definedName>
    <definedName name="image2" localSheetId="4">#REF!</definedName>
    <definedName name="image2" localSheetId="3">#REF!</definedName>
    <definedName name="image2" localSheetId="15">#REF!</definedName>
    <definedName name="image2" localSheetId="11">#REF!</definedName>
    <definedName name="image2" localSheetId="10">#REF!</definedName>
    <definedName name="image2" localSheetId="7">#REF!</definedName>
    <definedName name="image2" localSheetId="12">#REF!</definedName>
    <definedName name="image2">#REF!</definedName>
    <definedName name="_xlnm.Print_Area" localSheetId="6">' Total des coûts de MO'!$B$2:$AQ$38</definedName>
    <definedName name="_xlnm.Print_Area" localSheetId="13">'Administration &amp; Frais généraux'!$B$2:$AQ$29</definedName>
    <definedName name="_xlnm.Print_Area" localSheetId="8">'Coût d''occupation '!$B$2:$AQ$26</definedName>
    <definedName name="_xlnm.Print_Area" localSheetId="9">'Coût direct d''exploitation '!$B$2:$AQ$34</definedName>
    <definedName name="_xlnm.Print_Area" localSheetId="5">'Coût marchandises vendues'!$B$2:$AP$37</definedName>
    <definedName name="_xlnm.Print_Area" localSheetId="14">'Entretien &amp; Réparation'!$B$2:$AQ$31</definedName>
    <definedName name="_xlnm.Print_Area" localSheetId="4">'État des Résultats'!$C$2:$AQ$45</definedName>
    <definedName name="_xlnm.Print_Area" localSheetId="15">'Frais financier'!$B$2:$AQ$24</definedName>
    <definedName name="_xlnm.Print_Area" localSheetId="11">'Mark &amp; Communication marketing'!$B$2:$AQ$25</definedName>
    <definedName name="_xlnm.Print_Area" localSheetId="10">'Musique &amp; Divertissement'!$B$2:$AQ$24</definedName>
    <definedName name="_xlnm.Print_Area" localSheetId="7">'Salaire (planification)'!$B$2:$AQ$69</definedName>
    <definedName name="_xlnm.Print_Area" localSheetId="12">'Services publics'!$B$2:$AQ$23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Z38" i="6" l="1"/>
  <c r="N38" i="6"/>
  <c r="AL33" i="6"/>
  <c r="AI33" i="6"/>
  <c r="AF33" i="6"/>
  <c r="AC33" i="6"/>
  <c r="Z33" i="6"/>
  <c r="W33" i="6"/>
  <c r="T33" i="6"/>
  <c r="Q33" i="6"/>
  <c r="N33" i="6"/>
  <c r="K33" i="6"/>
  <c r="H33" i="6"/>
  <c r="E33" i="6"/>
  <c r="AY7" i="17"/>
  <c r="AV7" i="17"/>
  <c r="AV6" i="17"/>
  <c r="AT6" i="17"/>
  <c r="BA4" i="17"/>
  <c r="BA6" i="17" s="1"/>
  <c r="AY4" i="17"/>
  <c r="AY6" i="17" s="1"/>
  <c r="AV4" i="17"/>
  <c r="AT4" i="17"/>
  <c r="AL8" i="17"/>
  <c r="AI8" i="17"/>
  <c r="AF8" i="17"/>
  <c r="AC8" i="17"/>
  <c r="Z8" i="17"/>
  <c r="W8" i="17"/>
  <c r="T8" i="17"/>
  <c r="Q8" i="17"/>
  <c r="N8" i="17"/>
  <c r="K8" i="17"/>
  <c r="H8" i="17"/>
  <c r="E8" i="17"/>
  <c r="AP9" i="17"/>
  <c r="AL9" i="17"/>
  <c r="AI9" i="17"/>
  <c r="AF9" i="17"/>
  <c r="AC9" i="17"/>
  <c r="Z9" i="17"/>
  <c r="W9" i="17"/>
  <c r="T9" i="17"/>
  <c r="Q9" i="17"/>
  <c r="N9" i="17"/>
  <c r="K9" i="17"/>
  <c r="H9" i="17"/>
  <c r="E9" i="17"/>
  <c r="AP8" i="17"/>
  <c r="AQ8" i="17"/>
  <c r="AM8" i="17"/>
  <c r="AJ8" i="17"/>
  <c r="AG8" i="17"/>
  <c r="AD8" i="17"/>
  <c r="AA8" i="17"/>
  <c r="X8" i="17"/>
  <c r="U8" i="17"/>
  <c r="R8" i="17"/>
  <c r="O8" i="17"/>
  <c r="L8" i="17"/>
  <c r="I8" i="17"/>
  <c r="F8" i="17"/>
  <c r="E6" i="17"/>
  <c r="H6" i="17" s="1"/>
  <c r="K6" i="17" s="1"/>
  <c r="N6" i="17" s="1"/>
  <c r="Q6" i="17" s="1"/>
  <c r="T6" i="17" s="1"/>
  <c r="W6" i="17" s="1"/>
  <c r="Z6" i="17" s="1"/>
  <c r="AC6" i="17" s="1"/>
  <c r="AF6" i="17" s="1"/>
  <c r="AI6" i="17" s="1"/>
  <c r="AL6" i="17" s="1"/>
  <c r="AP6" i="17" s="1"/>
  <c r="AL24" i="17"/>
  <c r="AM24" i="17" s="1"/>
  <c r="AM22" i="17"/>
  <c r="AM21" i="17"/>
  <c r="AM20" i="17"/>
  <c r="AM19" i="17"/>
  <c r="AM18" i="17"/>
  <c r="AM17" i="17"/>
  <c r="AM16" i="17"/>
  <c r="AM15" i="17"/>
  <c r="AM14" i="17"/>
  <c r="AM13" i="17"/>
  <c r="AI24" i="17"/>
  <c r="AJ24" i="17" s="1"/>
  <c r="AJ22" i="17"/>
  <c r="AJ21" i="17"/>
  <c r="AJ20" i="17"/>
  <c r="AJ19" i="17"/>
  <c r="AJ18" i="17"/>
  <c r="AJ17" i="17"/>
  <c r="AJ16" i="17"/>
  <c r="AJ15" i="17"/>
  <c r="AJ14" i="17"/>
  <c r="AJ13" i="17"/>
  <c r="AF24" i="17"/>
  <c r="AG24" i="17" s="1"/>
  <c r="AG22" i="17"/>
  <c r="AG21" i="17"/>
  <c r="AG20" i="17"/>
  <c r="AG19" i="17"/>
  <c r="AG18" i="17"/>
  <c r="AG17" i="17"/>
  <c r="AG16" i="17"/>
  <c r="AG15" i="17"/>
  <c r="AG14" i="17"/>
  <c r="AG13" i="17"/>
  <c r="AC24" i="17"/>
  <c r="AD24" i="17" s="1"/>
  <c r="AD22" i="17"/>
  <c r="AD21" i="17"/>
  <c r="AD20" i="17"/>
  <c r="AD19" i="17"/>
  <c r="AD18" i="17"/>
  <c r="AD17" i="17"/>
  <c r="AD16" i="17"/>
  <c r="AD15" i="17"/>
  <c r="AD14" i="17"/>
  <c r="AD13" i="17"/>
  <c r="Z24" i="17"/>
  <c r="AA24" i="17" s="1"/>
  <c r="AA22" i="17"/>
  <c r="AA21" i="17"/>
  <c r="AA20" i="17"/>
  <c r="AA19" i="17"/>
  <c r="AA18" i="17"/>
  <c r="AA17" i="17"/>
  <c r="AA16" i="17"/>
  <c r="AA15" i="17"/>
  <c r="AA14" i="17"/>
  <c r="AA13" i="17"/>
  <c r="W24" i="17"/>
  <c r="X6" i="17" s="1"/>
  <c r="X22" i="17"/>
  <c r="X21" i="17"/>
  <c r="X20" i="17"/>
  <c r="X19" i="17"/>
  <c r="X18" i="17"/>
  <c r="X17" i="17"/>
  <c r="X16" i="17"/>
  <c r="X15" i="17"/>
  <c r="X14" i="17"/>
  <c r="X13" i="17"/>
  <c r="T24" i="17"/>
  <c r="U24" i="17" s="1"/>
  <c r="U22" i="17"/>
  <c r="U21" i="17"/>
  <c r="U20" i="17"/>
  <c r="U19" i="17"/>
  <c r="U18" i="17"/>
  <c r="U17" i="17"/>
  <c r="U16" i="17"/>
  <c r="U15" i="17"/>
  <c r="U14" i="17"/>
  <c r="U13" i="17"/>
  <c r="Q24" i="17"/>
  <c r="R24" i="17" s="1"/>
  <c r="R22" i="17"/>
  <c r="R21" i="17"/>
  <c r="R20" i="17"/>
  <c r="R19" i="17"/>
  <c r="R18" i="17"/>
  <c r="R17" i="17"/>
  <c r="R16" i="17"/>
  <c r="R15" i="17"/>
  <c r="R14" i="17"/>
  <c r="R13" i="17"/>
  <c r="N24" i="17"/>
  <c r="O24" i="17" s="1"/>
  <c r="O22" i="17"/>
  <c r="O21" i="17"/>
  <c r="O20" i="17"/>
  <c r="O19" i="17"/>
  <c r="O18" i="17"/>
  <c r="O17" i="17"/>
  <c r="O16" i="17"/>
  <c r="O15" i="17"/>
  <c r="O14" i="17"/>
  <c r="O13" i="17"/>
  <c r="K24" i="17"/>
  <c r="L24" i="17" s="1"/>
  <c r="L22" i="17"/>
  <c r="L21" i="17"/>
  <c r="L20" i="17"/>
  <c r="L19" i="17"/>
  <c r="L18" i="17"/>
  <c r="L17" i="17"/>
  <c r="L16" i="17"/>
  <c r="L15" i="17"/>
  <c r="L14" i="17"/>
  <c r="L13" i="17"/>
  <c r="H24" i="17"/>
  <c r="I24" i="17" s="1"/>
  <c r="I22" i="17"/>
  <c r="I21" i="17"/>
  <c r="I20" i="17"/>
  <c r="I19" i="17"/>
  <c r="I18" i="17"/>
  <c r="I17" i="17"/>
  <c r="I16" i="17"/>
  <c r="I15" i="17"/>
  <c r="I14" i="17"/>
  <c r="I13" i="17"/>
  <c r="E24" i="17"/>
  <c r="F24" i="17" s="1"/>
  <c r="F14" i="17"/>
  <c r="F15" i="17"/>
  <c r="F16" i="17"/>
  <c r="F17" i="17"/>
  <c r="F18" i="17"/>
  <c r="F19" i="17"/>
  <c r="F20" i="17"/>
  <c r="F21" i="17"/>
  <c r="F22" i="17"/>
  <c r="F13" i="17"/>
  <c r="B7" i="17"/>
  <c r="B6" i="17"/>
  <c r="B4" i="17"/>
  <c r="B3" i="17"/>
  <c r="B2" i="17"/>
  <c r="AQ31" i="16"/>
  <c r="AL31" i="16"/>
  <c r="AM31" i="16" s="1"/>
  <c r="AM29" i="16"/>
  <c r="AM28" i="16"/>
  <c r="AM27" i="16"/>
  <c r="AM26" i="16"/>
  <c r="AM25" i="16"/>
  <c r="AM24" i="16"/>
  <c r="AM23" i="16"/>
  <c r="AM22" i="16"/>
  <c r="AM21" i="16"/>
  <c r="AM20" i="16"/>
  <c r="AM19" i="16"/>
  <c r="AM18" i="16"/>
  <c r="AM17" i="16"/>
  <c r="AM16" i="16"/>
  <c r="AM15" i="16"/>
  <c r="AM14" i="16"/>
  <c r="AM13" i="16"/>
  <c r="AI31" i="16"/>
  <c r="AJ31" i="16" s="1"/>
  <c r="AJ29" i="16"/>
  <c r="AJ28" i="16"/>
  <c r="AJ27" i="16"/>
  <c r="AJ26" i="16"/>
  <c r="AJ25" i="16"/>
  <c r="AJ24" i="16"/>
  <c r="AJ23" i="16"/>
  <c r="AJ22" i="16"/>
  <c r="AJ21" i="16"/>
  <c r="AJ20" i="16"/>
  <c r="AJ19" i="16"/>
  <c r="AJ18" i="16"/>
  <c r="AJ17" i="16"/>
  <c r="AJ16" i="16"/>
  <c r="AJ15" i="16"/>
  <c r="AJ14" i="16"/>
  <c r="AJ13" i="16"/>
  <c r="AF31" i="16"/>
  <c r="AG31" i="16" s="1"/>
  <c r="AG29" i="16"/>
  <c r="AG28" i="16"/>
  <c r="AG27" i="16"/>
  <c r="AG26" i="16"/>
  <c r="AG25" i="16"/>
  <c r="AG24" i="16"/>
  <c r="AG23" i="16"/>
  <c r="AG22" i="16"/>
  <c r="AG21" i="16"/>
  <c r="AG20" i="16"/>
  <c r="AG19" i="16"/>
  <c r="AG18" i="16"/>
  <c r="AG17" i="16"/>
  <c r="AG16" i="16"/>
  <c r="AG15" i="16"/>
  <c r="AG14" i="16"/>
  <c r="AG13" i="16"/>
  <c r="AC31" i="16"/>
  <c r="AD31" i="16" s="1"/>
  <c r="AD29" i="16"/>
  <c r="AD28" i="16"/>
  <c r="AD27" i="16"/>
  <c r="AD26" i="16"/>
  <c r="AD25" i="16"/>
  <c r="AD24" i="16"/>
  <c r="AD23" i="16"/>
  <c r="AD22" i="16"/>
  <c r="AD21" i="16"/>
  <c r="AD20" i="16"/>
  <c r="AD19" i="16"/>
  <c r="AD18" i="16"/>
  <c r="AD17" i="16"/>
  <c r="AD16" i="16"/>
  <c r="AD15" i="16"/>
  <c r="AD14" i="16"/>
  <c r="AD13" i="16"/>
  <c r="Z31" i="16"/>
  <c r="AA31" i="16" s="1"/>
  <c r="AA29" i="16"/>
  <c r="AA28" i="16"/>
  <c r="AA27" i="16"/>
  <c r="AA26" i="16"/>
  <c r="AA25" i="16"/>
  <c r="AA24" i="16"/>
  <c r="AA23" i="16"/>
  <c r="AA22" i="16"/>
  <c r="AA21" i="16"/>
  <c r="AA20" i="16"/>
  <c r="AA19" i="16"/>
  <c r="AA18" i="16"/>
  <c r="AA17" i="16"/>
  <c r="AA16" i="16"/>
  <c r="AA15" i="16"/>
  <c r="AA14" i="16"/>
  <c r="AA13" i="16"/>
  <c r="W31" i="16"/>
  <c r="X31" i="16" s="1"/>
  <c r="X29" i="16"/>
  <c r="X28" i="16"/>
  <c r="X27" i="16"/>
  <c r="X26" i="16"/>
  <c r="X25" i="16"/>
  <c r="X24" i="16"/>
  <c r="X23" i="16"/>
  <c r="X22" i="16"/>
  <c r="X21" i="16"/>
  <c r="X20" i="16"/>
  <c r="X19" i="16"/>
  <c r="X18" i="16"/>
  <c r="X17" i="16"/>
  <c r="X16" i="16"/>
  <c r="X15" i="16"/>
  <c r="X14" i="16"/>
  <c r="X13" i="16"/>
  <c r="T31" i="16"/>
  <c r="U31" i="16" s="1"/>
  <c r="U29" i="16"/>
  <c r="U28" i="16"/>
  <c r="U27" i="16"/>
  <c r="U26" i="16"/>
  <c r="U25" i="16"/>
  <c r="U24" i="16"/>
  <c r="U23" i="16"/>
  <c r="U22" i="16"/>
  <c r="U21" i="16"/>
  <c r="U20" i="16"/>
  <c r="U19" i="16"/>
  <c r="U18" i="16"/>
  <c r="U17" i="16"/>
  <c r="U16" i="16"/>
  <c r="U15" i="16"/>
  <c r="U14" i="16"/>
  <c r="U13" i="16"/>
  <c r="Q31" i="16"/>
  <c r="R31" i="16" s="1"/>
  <c r="R29" i="16"/>
  <c r="R28" i="16"/>
  <c r="R27" i="16"/>
  <c r="R26" i="16"/>
  <c r="R25" i="16"/>
  <c r="R24" i="16"/>
  <c r="R23" i="16"/>
  <c r="R22" i="16"/>
  <c r="R21" i="16"/>
  <c r="R20" i="16"/>
  <c r="R19" i="16"/>
  <c r="R18" i="16"/>
  <c r="R17" i="16"/>
  <c r="R16" i="16"/>
  <c r="R15" i="16"/>
  <c r="R14" i="16"/>
  <c r="R13" i="16"/>
  <c r="N31" i="16"/>
  <c r="O31" i="16" s="1"/>
  <c r="O29" i="16"/>
  <c r="O28" i="16"/>
  <c r="O27" i="16"/>
  <c r="O26" i="16"/>
  <c r="O25" i="16"/>
  <c r="O24" i="16"/>
  <c r="O23" i="16"/>
  <c r="O22" i="16"/>
  <c r="O21" i="16"/>
  <c r="O20" i="16"/>
  <c r="O19" i="16"/>
  <c r="O18" i="16"/>
  <c r="O17" i="16"/>
  <c r="O16" i="16"/>
  <c r="O15" i="16"/>
  <c r="O14" i="16"/>
  <c r="O13" i="16"/>
  <c r="K31" i="16"/>
  <c r="L31" i="16" s="1"/>
  <c r="L29" i="16"/>
  <c r="L28" i="16"/>
  <c r="L27" i="16"/>
  <c r="L26" i="16"/>
  <c r="L25" i="16"/>
  <c r="L24" i="16"/>
  <c r="L23" i="16"/>
  <c r="L22" i="16"/>
  <c r="L21" i="16"/>
  <c r="L20" i="16"/>
  <c r="L19" i="16"/>
  <c r="L18" i="16"/>
  <c r="L17" i="16"/>
  <c r="L16" i="16"/>
  <c r="L15" i="16"/>
  <c r="L14" i="16"/>
  <c r="L13" i="16"/>
  <c r="H31" i="16"/>
  <c r="I31" i="16" s="1"/>
  <c r="I29" i="16"/>
  <c r="I28" i="16"/>
  <c r="I27" i="16"/>
  <c r="I26" i="16"/>
  <c r="I25" i="16"/>
  <c r="I24" i="16"/>
  <c r="I23" i="16"/>
  <c r="I22" i="16"/>
  <c r="I21" i="16"/>
  <c r="I20" i="16"/>
  <c r="I19" i="16"/>
  <c r="I18" i="16"/>
  <c r="I17" i="16"/>
  <c r="I16" i="16"/>
  <c r="I15" i="16"/>
  <c r="I14" i="16"/>
  <c r="I13" i="16"/>
  <c r="F31" i="16"/>
  <c r="F13" i="16"/>
  <c r="F14" i="16"/>
  <c r="F15" i="16"/>
  <c r="F16" i="16"/>
  <c r="F17" i="16"/>
  <c r="F18" i="16"/>
  <c r="F19" i="16"/>
  <c r="F20" i="16"/>
  <c r="F21" i="16"/>
  <c r="F22" i="16"/>
  <c r="F23" i="16"/>
  <c r="F24" i="16"/>
  <c r="F25" i="16"/>
  <c r="F26" i="16"/>
  <c r="F27" i="16"/>
  <c r="F28" i="16"/>
  <c r="F29" i="16"/>
  <c r="B7" i="16"/>
  <c r="AM6" i="16" s="1"/>
  <c r="B6" i="16"/>
  <c r="B4" i="16"/>
  <c r="B3" i="16"/>
  <c r="B2" i="16"/>
  <c r="AP22" i="17"/>
  <c r="AQ22" i="17" s="1"/>
  <c r="AP21" i="17"/>
  <c r="AQ21" i="17" s="1"/>
  <c r="AP20" i="17"/>
  <c r="AQ20" i="17" s="1"/>
  <c r="AP19" i="17"/>
  <c r="AQ19" i="17" s="1"/>
  <c r="AP18" i="17"/>
  <c r="AQ18" i="17" s="1"/>
  <c r="AP17" i="17"/>
  <c r="AQ17" i="17" s="1"/>
  <c r="AP16" i="17"/>
  <c r="AQ16" i="17" s="1"/>
  <c r="AP15" i="17"/>
  <c r="AQ15" i="17" s="1"/>
  <c r="AP14" i="17"/>
  <c r="AP13" i="17"/>
  <c r="AQ13" i="17" s="1"/>
  <c r="AP9" i="16"/>
  <c r="AL9" i="16"/>
  <c r="AI9" i="16"/>
  <c r="AF9" i="16"/>
  <c r="AC9" i="16"/>
  <c r="Z9" i="16"/>
  <c r="W9" i="16"/>
  <c r="T9" i="16"/>
  <c r="Q9" i="16"/>
  <c r="N9" i="16"/>
  <c r="K9" i="16"/>
  <c r="H9" i="16"/>
  <c r="E9" i="16"/>
  <c r="AQ8" i="16"/>
  <c r="AM8" i="16"/>
  <c r="AJ8" i="16"/>
  <c r="AG8" i="16"/>
  <c r="AD8" i="16"/>
  <c r="AA8" i="16"/>
  <c r="X8" i="16"/>
  <c r="U8" i="16"/>
  <c r="R8" i="16"/>
  <c r="O8" i="16"/>
  <c r="L8" i="16"/>
  <c r="I8" i="16"/>
  <c r="F8" i="16"/>
  <c r="AP8" i="16"/>
  <c r="AL8" i="16"/>
  <c r="AI8" i="16"/>
  <c r="AF8" i="16"/>
  <c r="AC8" i="16"/>
  <c r="Z8" i="16"/>
  <c r="W8" i="16"/>
  <c r="T8" i="16"/>
  <c r="Q8" i="16"/>
  <c r="N8" i="16"/>
  <c r="K8" i="16"/>
  <c r="H8" i="16"/>
  <c r="E8" i="16"/>
  <c r="AJ6" i="16"/>
  <c r="AG6" i="16"/>
  <c r="AD6" i="16"/>
  <c r="AA6" i="16"/>
  <c r="X6" i="16"/>
  <c r="U6" i="16"/>
  <c r="R6" i="16"/>
  <c r="O6" i="16"/>
  <c r="L6" i="16"/>
  <c r="I6" i="16"/>
  <c r="F6" i="16"/>
  <c r="E6" i="16"/>
  <c r="H6" i="16" s="1"/>
  <c r="K6" i="16" s="1"/>
  <c r="N6" i="16" s="1"/>
  <c r="Q6" i="16" s="1"/>
  <c r="T6" i="16" s="1"/>
  <c r="W6" i="16" s="1"/>
  <c r="Z6" i="16" s="1"/>
  <c r="AC6" i="16" s="1"/>
  <c r="AF6" i="16" s="1"/>
  <c r="AI6" i="16" s="1"/>
  <c r="AL6" i="16" s="1"/>
  <c r="AP6" i="16" s="1"/>
  <c r="AP29" i="16"/>
  <c r="AQ29" i="16" s="1"/>
  <c r="E31" i="16"/>
  <c r="AV7" i="16"/>
  <c r="AY7" i="16"/>
  <c r="AV6" i="16"/>
  <c r="AT6" i="16"/>
  <c r="BA4" i="16"/>
  <c r="BA6" i="16" s="1"/>
  <c r="AY4" i="16"/>
  <c r="AY6" i="16" s="1"/>
  <c r="AV4" i="16"/>
  <c r="AT4" i="16"/>
  <c r="AP28" i="16"/>
  <c r="AQ28" i="16" s="1"/>
  <c r="AP27" i="16"/>
  <c r="AQ27" i="16" s="1"/>
  <c r="AP26" i="16"/>
  <c r="AQ26" i="16" s="1"/>
  <c r="AP25" i="16"/>
  <c r="AQ25" i="16" s="1"/>
  <c r="AP24" i="16"/>
  <c r="AQ24" i="16" s="1"/>
  <c r="AP23" i="16"/>
  <c r="AQ23" i="16" s="1"/>
  <c r="AP22" i="16"/>
  <c r="AQ22" i="16" s="1"/>
  <c r="AP21" i="16"/>
  <c r="AQ21" i="16" s="1"/>
  <c r="AP20" i="16"/>
  <c r="AQ20" i="16" s="1"/>
  <c r="AP19" i="16"/>
  <c r="AQ19" i="16" s="1"/>
  <c r="AP18" i="16"/>
  <c r="AQ18" i="16" s="1"/>
  <c r="AP17" i="16"/>
  <c r="AQ17" i="16" s="1"/>
  <c r="AP16" i="16"/>
  <c r="AQ16" i="16" s="1"/>
  <c r="AP15" i="16"/>
  <c r="AQ15" i="16" s="1"/>
  <c r="AP14" i="16"/>
  <c r="AQ14" i="16" s="1"/>
  <c r="AP13" i="16"/>
  <c r="AQ13" i="16" s="1"/>
  <c r="AL32" i="6"/>
  <c r="AI32" i="6"/>
  <c r="AF32" i="6"/>
  <c r="AC32" i="6"/>
  <c r="Z32" i="6"/>
  <c r="W32" i="6"/>
  <c r="T32" i="6"/>
  <c r="Q32" i="6"/>
  <c r="AQ8" i="15"/>
  <c r="AM8" i="15"/>
  <c r="AJ8" i="15"/>
  <c r="AG8" i="15"/>
  <c r="AD8" i="15"/>
  <c r="AA8" i="15"/>
  <c r="X8" i="15"/>
  <c r="U8" i="15"/>
  <c r="R8" i="15"/>
  <c r="O8" i="15"/>
  <c r="L8" i="15"/>
  <c r="I8" i="15"/>
  <c r="F8" i="15"/>
  <c r="AP9" i="15"/>
  <c r="AL9" i="15"/>
  <c r="AI9" i="15"/>
  <c r="AF9" i="15"/>
  <c r="AC9" i="15"/>
  <c r="Z9" i="15"/>
  <c r="W9" i="15"/>
  <c r="T9" i="15"/>
  <c r="Q9" i="15"/>
  <c r="N9" i="15"/>
  <c r="K9" i="15"/>
  <c r="H9" i="15"/>
  <c r="E9" i="15"/>
  <c r="AP8" i="15"/>
  <c r="AL8" i="15"/>
  <c r="AI8" i="15"/>
  <c r="AF8" i="15"/>
  <c r="AC8" i="15"/>
  <c r="Z8" i="15"/>
  <c r="W8" i="15"/>
  <c r="T8" i="15"/>
  <c r="Q8" i="15"/>
  <c r="N8" i="15"/>
  <c r="K8" i="15"/>
  <c r="H8" i="15"/>
  <c r="E8" i="15"/>
  <c r="AM6" i="15"/>
  <c r="AJ6" i="15"/>
  <c r="AG6" i="15"/>
  <c r="AD6" i="15"/>
  <c r="AA6" i="15"/>
  <c r="X6" i="15"/>
  <c r="U6" i="15"/>
  <c r="R6" i="15"/>
  <c r="E6" i="15"/>
  <c r="H6" i="15" s="1"/>
  <c r="K6" i="15" s="1"/>
  <c r="N6" i="15" s="1"/>
  <c r="Q6" i="15" s="1"/>
  <c r="T6" i="15" s="1"/>
  <c r="W6" i="15" s="1"/>
  <c r="Z6" i="15" s="1"/>
  <c r="AC6" i="15" s="1"/>
  <c r="AF6" i="15" s="1"/>
  <c r="AI6" i="15" s="1"/>
  <c r="AL6" i="15" s="1"/>
  <c r="AP6" i="15" s="1"/>
  <c r="AL29" i="15"/>
  <c r="AM27" i="15"/>
  <c r="AM26" i="15"/>
  <c r="AM25" i="15"/>
  <c r="AM24" i="15"/>
  <c r="AM23" i="15"/>
  <c r="AM22" i="15"/>
  <c r="AM21" i="15"/>
  <c r="AM20" i="15"/>
  <c r="AM19" i="15"/>
  <c r="AM18" i="15"/>
  <c r="AM17" i="15"/>
  <c r="AM16" i="15"/>
  <c r="AM15" i="15"/>
  <c r="AM14" i="15"/>
  <c r="AM13" i="15"/>
  <c r="AM29" i="15" s="1"/>
  <c r="AI29" i="15"/>
  <c r="AJ27" i="15"/>
  <c r="AJ26" i="15"/>
  <c r="AJ25" i="15"/>
  <c r="AJ24" i="15"/>
  <c r="AJ23" i="15"/>
  <c r="AJ22" i="15"/>
  <c r="AJ21" i="15"/>
  <c r="AJ20" i="15"/>
  <c r="AJ19" i="15"/>
  <c r="AJ18" i="15"/>
  <c r="AJ17" i="15"/>
  <c r="AJ16" i="15"/>
  <c r="AJ15" i="15"/>
  <c r="AJ14" i="15"/>
  <c r="AJ13" i="15"/>
  <c r="AJ29" i="15" s="1"/>
  <c r="AF29" i="15"/>
  <c r="AG27" i="15"/>
  <c r="AG26" i="15"/>
  <c r="AG25" i="15"/>
  <c r="AG24" i="15"/>
  <c r="AG23" i="15"/>
  <c r="AG22" i="15"/>
  <c r="AG21" i="15"/>
  <c r="AG20" i="15"/>
  <c r="AG19" i="15"/>
  <c r="AG18" i="15"/>
  <c r="AG17" i="15"/>
  <c r="AG16" i="15"/>
  <c r="AG15" i="15"/>
  <c r="AG14" i="15"/>
  <c r="AG13" i="15"/>
  <c r="AG29" i="15" s="1"/>
  <c r="AC29" i="15"/>
  <c r="AD27" i="15"/>
  <c r="AD26" i="15"/>
  <c r="AD25" i="15"/>
  <c r="AD24" i="15"/>
  <c r="AD23" i="15"/>
  <c r="AD22" i="15"/>
  <c r="AD21" i="15"/>
  <c r="AD20" i="15"/>
  <c r="AD19" i="15"/>
  <c r="AD18" i="15"/>
  <c r="AD17" i="15"/>
  <c r="AD16" i="15"/>
  <c r="AD15" i="15"/>
  <c r="AD14" i="15"/>
  <c r="AD13" i="15"/>
  <c r="AD29" i="15" s="1"/>
  <c r="Z29" i="15"/>
  <c r="AA27" i="15"/>
  <c r="AA26" i="15"/>
  <c r="AA25" i="15"/>
  <c r="AA24" i="15"/>
  <c r="AA23" i="15"/>
  <c r="AA22" i="15"/>
  <c r="AA21" i="15"/>
  <c r="AA20" i="15"/>
  <c r="AA19" i="15"/>
  <c r="AA18" i="15"/>
  <c r="AA17" i="15"/>
  <c r="AA16" i="15"/>
  <c r="AA15" i="15"/>
  <c r="AA14" i="15"/>
  <c r="AA13" i="15"/>
  <c r="AA29" i="15" s="1"/>
  <c r="W29" i="15"/>
  <c r="X27" i="15"/>
  <c r="X26" i="15"/>
  <c r="X25" i="15"/>
  <c r="X24" i="15"/>
  <c r="X23" i="15"/>
  <c r="X22" i="15"/>
  <c r="X21" i="15"/>
  <c r="X20" i="15"/>
  <c r="X19" i="15"/>
  <c r="X18" i="15"/>
  <c r="X17" i="15"/>
  <c r="X16" i="15"/>
  <c r="X15" i="15"/>
  <c r="X14" i="15"/>
  <c r="X13" i="15"/>
  <c r="X29" i="15" s="1"/>
  <c r="T29" i="15"/>
  <c r="U27" i="15"/>
  <c r="U26" i="15"/>
  <c r="U25" i="15"/>
  <c r="U24" i="15"/>
  <c r="U23" i="15"/>
  <c r="U22" i="15"/>
  <c r="U21" i="15"/>
  <c r="U20" i="15"/>
  <c r="U19" i="15"/>
  <c r="U18" i="15"/>
  <c r="U17" i="15"/>
  <c r="U16" i="15"/>
  <c r="U15" i="15"/>
  <c r="U14" i="15"/>
  <c r="U13" i="15"/>
  <c r="U29" i="15" s="1"/>
  <c r="Q29" i="15"/>
  <c r="R27" i="15"/>
  <c r="R26" i="15"/>
  <c r="R25" i="15"/>
  <c r="R24" i="15"/>
  <c r="R23" i="15"/>
  <c r="R22" i="15"/>
  <c r="R21" i="15"/>
  <c r="R20" i="15"/>
  <c r="R19" i="15"/>
  <c r="R18" i="15"/>
  <c r="R17" i="15"/>
  <c r="R16" i="15"/>
  <c r="R15" i="15"/>
  <c r="R14" i="15"/>
  <c r="R13" i="15"/>
  <c r="R29" i="15" s="1"/>
  <c r="N29" i="15"/>
  <c r="N32" i="6" s="1"/>
  <c r="O27" i="15"/>
  <c r="O26" i="15"/>
  <c r="O25" i="15"/>
  <c r="O24" i="15"/>
  <c r="O23" i="15"/>
  <c r="O22" i="15"/>
  <c r="O21" i="15"/>
  <c r="O20" i="15"/>
  <c r="O19" i="15"/>
  <c r="O18" i="15"/>
  <c r="O17" i="15"/>
  <c r="O16" i="15"/>
  <c r="O15" i="15"/>
  <c r="O14" i="15"/>
  <c r="O13" i="15"/>
  <c r="K29" i="15"/>
  <c r="K32" i="6" s="1"/>
  <c r="L32" i="6" s="1"/>
  <c r="L27" i="15"/>
  <c r="L26" i="15"/>
  <c r="L25" i="15"/>
  <c r="L24" i="15"/>
  <c r="L23" i="15"/>
  <c r="L22" i="15"/>
  <c r="L21" i="15"/>
  <c r="L20" i="15"/>
  <c r="L19" i="15"/>
  <c r="L18" i="15"/>
  <c r="L17" i="15"/>
  <c r="L16" i="15"/>
  <c r="L15" i="15"/>
  <c r="L14" i="15"/>
  <c r="L13" i="15"/>
  <c r="H29" i="15"/>
  <c r="I6" i="15" s="1"/>
  <c r="I27" i="15"/>
  <c r="I26" i="15"/>
  <c r="I25" i="15"/>
  <c r="I24" i="15"/>
  <c r="I23" i="15"/>
  <c r="I22" i="15"/>
  <c r="I21" i="15"/>
  <c r="I20" i="15"/>
  <c r="I19" i="15"/>
  <c r="I18" i="15"/>
  <c r="I17" i="15"/>
  <c r="I16" i="15"/>
  <c r="I15" i="15"/>
  <c r="I14" i="15"/>
  <c r="I13" i="15"/>
  <c r="F14" i="15"/>
  <c r="F15" i="15"/>
  <c r="F16" i="15"/>
  <c r="F17" i="15"/>
  <c r="F18" i="15"/>
  <c r="F19" i="15"/>
  <c r="F20" i="15"/>
  <c r="F21" i="15"/>
  <c r="F22" i="15"/>
  <c r="F23" i="15"/>
  <c r="F24" i="15"/>
  <c r="F25" i="15"/>
  <c r="F26" i="15"/>
  <c r="F27" i="15"/>
  <c r="F13" i="15"/>
  <c r="AY7" i="15"/>
  <c r="AV7" i="15"/>
  <c r="AV6" i="15"/>
  <c r="AT6" i="15"/>
  <c r="BA4" i="15"/>
  <c r="BA6" i="15" s="1"/>
  <c r="AY4" i="15"/>
  <c r="AY6" i="15" s="1"/>
  <c r="AV4" i="15"/>
  <c r="AT4" i="15"/>
  <c r="B7" i="15"/>
  <c r="B6" i="15"/>
  <c r="B4" i="14"/>
  <c r="B3" i="14"/>
  <c r="B4" i="13"/>
  <c r="B3" i="13"/>
  <c r="B4" i="12"/>
  <c r="B3" i="12"/>
  <c r="B4" i="15"/>
  <c r="B3" i="15"/>
  <c r="E29" i="15"/>
  <c r="F6" i="15" s="1"/>
  <c r="AP27" i="15"/>
  <c r="AQ27" i="15" s="1"/>
  <c r="AP26" i="15"/>
  <c r="AQ26" i="15" s="1"/>
  <c r="AP25" i="15"/>
  <c r="AQ25" i="15" s="1"/>
  <c r="AP24" i="15"/>
  <c r="AQ24" i="15" s="1"/>
  <c r="AP23" i="15"/>
  <c r="AQ23" i="15" s="1"/>
  <c r="AP22" i="15"/>
  <c r="AQ22" i="15" s="1"/>
  <c r="AP21" i="15"/>
  <c r="AQ21" i="15" s="1"/>
  <c r="AP20" i="15"/>
  <c r="AQ20" i="15" s="1"/>
  <c r="AP19" i="15"/>
  <c r="AQ19" i="15" s="1"/>
  <c r="AP18" i="15"/>
  <c r="AQ18" i="15" s="1"/>
  <c r="AP17" i="15"/>
  <c r="AQ17" i="15" s="1"/>
  <c r="AP16" i="15"/>
  <c r="AQ16" i="15" s="1"/>
  <c r="AP15" i="15"/>
  <c r="AQ15" i="15" s="1"/>
  <c r="AP14" i="15"/>
  <c r="AQ14" i="15" s="1"/>
  <c r="AP13" i="15"/>
  <c r="AQ13" i="15" s="1"/>
  <c r="AL31" i="6"/>
  <c r="AI31" i="6"/>
  <c r="AF31" i="6"/>
  <c r="AC31" i="6"/>
  <c r="Z31" i="6"/>
  <c r="W31" i="6"/>
  <c r="T31" i="6"/>
  <c r="Q31" i="6"/>
  <c r="N31" i="6"/>
  <c r="K31" i="6"/>
  <c r="H31" i="6"/>
  <c r="E31" i="6"/>
  <c r="AQ23" i="14"/>
  <c r="AP23" i="14"/>
  <c r="AQ14" i="14"/>
  <c r="AQ15" i="14"/>
  <c r="AQ16" i="14"/>
  <c r="AQ17" i="14"/>
  <c r="AQ18" i="14"/>
  <c r="AQ19" i="14"/>
  <c r="AQ20" i="14"/>
  <c r="AQ21" i="14"/>
  <c r="AQ13" i="14"/>
  <c r="AM21" i="14"/>
  <c r="AM20" i="14"/>
  <c r="AM19" i="14"/>
  <c r="AM18" i="14"/>
  <c r="AM17" i="14"/>
  <c r="AM16" i="14"/>
  <c r="AM15" i="14"/>
  <c r="AM14" i="14"/>
  <c r="AM13" i="14"/>
  <c r="AJ21" i="14"/>
  <c r="AJ20" i="14"/>
  <c r="AJ19" i="14"/>
  <c r="AJ18" i="14"/>
  <c r="AJ17" i="14"/>
  <c r="AJ16" i="14"/>
  <c r="AJ15" i="14"/>
  <c r="AJ14" i="14"/>
  <c r="AJ23" i="14" s="1"/>
  <c r="AJ13" i="14"/>
  <c r="AG21" i="14"/>
  <c r="AG20" i="14"/>
  <c r="AG19" i="14"/>
  <c r="AG18" i="14"/>
  <c r="AG17" i="14"/>
  <c r="AG16" i="14"/>
  <c r="AG15" i="14"/>
  <c r="AG14" i="14"/>
  <c r="AG13" i="14"/>
  <c r="AD21" i="14"/>
  <c r="AD20" i="14"/>
  <c r="AD19" i="14"/>
  <c r="AD18" i="14"/>
  <c r="AD17" i="14"/>
  <c r="AD16" i="14"/>
  <c r="AD15" i="14"/>
  <c r="AD14" i="14"/>
  <c r="AD23" i="14" s="1"/>
  <c r="AD13" i="14"/>
  <c r="AA21" i="14"/>
  <c r="AA20" i="14"/>
  <c r="AA19" i="14"/>
  <c r="AA18" i="14"/>
  <c r="AA17" i="14"/>
  <c r="AA16" i="14"/>
  <c r="AA15" i="14"/>
  <c r="AA14" i="14"/>
  <c r="AA13" i="14"/>
  <c r="X21" i="14"/>
  <c r="X20" i="14"/>
  <c r="X19" i="14"/>
  <c r="X18" i="14"/>
  <c r="X17" i="14"/>
  <c r="X16" i="14"/>
  <c r="X15" i="14"/>
  <c r="X14" i="14"/>
  <c r="X13" i="14"/>
  <c r="U21" i="14"/>
  <c r="U20" i="14"/>
  <c r="U19" i="14"/>
  <c r="U18" i="14"/>
  <c r="U17" i="14"/>
  <c r="U16" i="14"/>
  <c r="U15" i="14"/>
  <c r="U14" i="14"/>
  <c r="U13" i="14"/>
  <c r="R21" i="14"/>
  <c r="R20" i="14"/>
  <c r="R19" i="14"/>
  <c r="R18" i="14"/>
  <c r="R17" i="14"/>
  <c r="R16" i="14"/>
  <c r="R15" i="14"/>
  <c r="R14" i="14"/>
  <c r="R13" i="14"/>
  <c r="O21" i="14"/>
  <c r="O20" i="14"/>
  <c r="O19" i="14"/>
  <c r="O18" i="14"/>
  <c r="O17" i="14"/>
  <c r="O16" i="14"/>
  <c r="O15" i="14"/>
  <c r="O14" i="14"/>
  <c r="O13" i="14"/>
  <c r="L21" i="14"/>
  <c r="L20" i="14"/>
  <c r="L19" i="14"/>
  <c r="L18" i="14"/>
  <c r="L17" i="14"/>
  <c r="L16" i="14"/>
  <c r="L15" i="14"/>
  <c r="L14" i="14"/>
  <c r="L23" i="14" s="1"/>
  <c r="L13" i="14"/>
  <c r="I21" i="14"/>
  <c r="I20" i="14"/>
  <c r="I19" i="14"/>
  <c r="I18" i="14"/>
  <c r="I17" i="14"/>
  <c r="I16" i="14"/>
  <c r="I15" i="14"/>
  <c r="I14" i="14"/>
  <c r="I13" i="14"/>
  <c r="F21" i="14"/>
  <c r="F14" i="14"/>
  <c r="F15" i="14"/>
  <c r="F16" i="14"/>
  <c r="F23" i="14" s="1"/>
  <c r="F17" i="14"/>
  <c r="F18" i="14"/>
  <c r="F19" i="14"/>
  <c r="F20" i="14"/>
  <c r="F13" i="14"/>
  <c r="E23" i="14"/>
  <c r="AQ8" i="14"/>
  <c r="AM8" i="14"/>
  <c r="AJ8" i="14"/>
  <c r="AG8" i="14"/>
  <c r="AD8" i="14"/>
  <c r="AA8" i="14"/>
  <c r="X8" i="14"/>
  <c r="U8" i="14"/>
  <c r="R8" i="14"/>
  <c r="O8" i="14"/>
  <c r="L8" i="14"/>
  <c r="I8" i="14"/>
  <c r="F8" i="14"/>
  <c r="AP9" i="14"/>
  <c r="AL9" i="14"/>
  <c r="AI9" i="14"/>
  <c r="AF9" i="14"/>
  <c r="AC9" i="14"/>
  <c r="Z9" i="14"/>
  <c r="W9" i="14"/>
  <c r="T9" i="14"/>
  <c r="Q9" i="14"/>
  <c r="N9" i="14"/>
  <c r="K9" i="14"/>
  <c r="H9" i="14"/>
  <c r="E9" i="14"/>
  <c r="AP8" i="14"/>
  <c r="AL8" i="14"/>
  <c r="AI8" i="14"/>
  <c r="AF8" i="14"/>
  <c r="AC8" i="14"/>
  <c r="Z8" i="14"/>
  <c r="W8" i="14"/>
  <c r="T8" i="14"/>
  <c r="Q8" i="14"/>
  <c r="N8" i="14"/>
  <c r="K8" i="14"/>
  <c r="H8" i="14"/>
  <c r="E8" i="14"/>
  <c r="U6" i="14"/>
  <c r="E6" i="14"/>
  <c r="AY7" i="14"/>
  <c r="AV7" i="14"/>
  <c r="AV6" i="14"/>
  <c r="AT6" i="14"/>
  <c r="BA4" i="14"/>
  <c r="BA6" i="14" s="1"/>
  <c r="AY4" i="14"/>
  <c r="AY6" i="14" s="1"/>
  <c r="AV4" i="14"/>
  <c r="AT4" i="14"/>
  <c r="B7" i="14"/>
  <c r="B6" i="14"/>
  <c r="AL23" i="14"/>
  <c r="AM6" i="14" s="1"/>
  <c r="AI23" i="14"/>
  <c r="AJ6" i="14" s="1"/>
  <c r="AF23" i="14"/>
  <c r="AG6" i="14" s="1"/>
  <c r="AC23" i="14"/>
  <c r="AD6" i="14" s="1"/>
  <c r="Z23" i="14"/>
  <c r="AA6" i="14" s="1"/>
  <c r="W23" i="14"/>
  <c r="X6" i="14" s="1"/>
  <c r="T23" i="14"/>
  <c r="Q23" i="14"/>
  <c r="R6" i="14" s="1"/>
  <c r="N23" i="14"/>
  <c r="O6" i="14" s="1"/>
  <c r="K23" i="14"/>
  <c r="L6" i="14" s="1"/>
  <c r="H23" i="14"/>
  <c r="I6" i="14" s="1"/>
  <c r="AP21" i="14"/>
  <c r="AP20" i="14"/>
  <c r="AP19" i="14"/>
  <c r="AP18" i="14"/>
  <c r="AP17" i="14"/>
  <c r="AP16" i="14"/>
  <c r="AP15" i="14"/>
  <c r="AP14" i="14"/>
  <c r="AP13" i="14"/>
  <c r="X23" i="14"/>
  <c r="R23" i="14"/>
  <c r="H6" i="14"/>
  <c r="K6" i="14" s="1"/>
  <c r="N6" i="14" s="1"/>
  <c r="Q6" i="14" s="1"/>
  <c r="T6" i="14" s="1"/>
  <c r="W6" i="14" s="1"/>
  <c r="Z6" i="14" s="1"/>
  <c r="AC6" i="14" s="1"/>
  <c r="AF6" i="14" s="1"/>
  <c r="AI6" i="14" s="1"/>
  <c r="AL6" i="14" s="1"/>
  <c r="AP6" i="14" s="1"/>
  <c r="AL30" i="6"/>
  <c r="AI30" i="6"/>
  <c r="AF30" i="6"/>
  <c r="AC30" i="6"/>
  <c r="Z30" i="6"/>
  <c r="W30" i="6"/>
  <c r="T30" i="6"/>
  <c r="Q30" i="6"/>
  <c r="N30" i="6"/>
  <c r="K30" i="6"/>
  <c r="H30" i="6"/>
  <c r="E30" i="6"/>
  <c r="AL29" i="6"/>
  <c r="AI29" i="6"/>
  <c r="AF29" i="6"/>
  <c r="AC29" i="6"/>
  <c r="Z29" i="6"/>
  <c r="W29" i="6"/>
  <c r="T29" i="6"/>
  <c r="Q29" i="6"/>
  <c r="N29" i="6"/>
  <c r="K29" i="6"/>
  <c r="H29" i="6"/>
  <c r="B7" i="13"/>
  <c r="AG6" i="13" s="1"/>
  <c r="B6" i="13"/>
  <c r="AQ6" i="13"/>
  <c r="AM6" i="13"/>
  <c r="AJ6" i="13"/>
  <c r="AD6" i="13"/>
  <c r="AA6" i="13"/>
  <c r="X6" i="13"/>
  <c r="U6" i="13"/>
  <c r="R6" i="13"/>
  <c r="O6" i="13"/>
  <c r="L6" i="13"/>
  <c r="I6" i="13"/>
  <c r="F6" i="13"/>
  <c r="AQ8" i="13"/>
  <c r="AM8" i="13"/>
  <c r="AJ8" i="13"/>
  <c r="AG8" i="13"/>
  <c r="AD8" i="13"/>
  <c r="AA8" i="13"/>
  <c r="X8" i="13"/>
  <c r="U8" i="13"/>
  <c r="R8" i="13"/>
  <c r="O8" i="13"/>
  <c r="L8" i="13"/>
  <c r="I8" i="13"/>
  <c r="F8" i="13"/>
  <c r="AP9" i="13"/>
  <c r="AL9" i="13"/>
  <c r="AI9" i="13"/>
  <c r="AF9" i="13"/>
  <c r="AC9" i="13"/>
  <c r="Z9" i="13"/>
  <c r="W9" i="13"/>
  <c r="T9" i="13"/>
  <c r="Q9" i="13"/>
  <c r="N9" i="13"/>
  <c r="K9" i="13"/>
  <c r="H9" i="13"/>
  <c r="E9" i="13"/>
  <c r="AP8" i="13"/>
  <c r="AL8" i="13"/>
  <c r="AI8" i="13"/>
  <c r="AF8" i="13"/>
  <c r="AC8" i="13"/>
  <c r="Z8" i="13"/>
  <c r="W8" i="13"/>
  <c r="T8" i="13"/>
  <c r="Q8" i="13"/>
  <c r="N8" i="13"/>
  <c r="K8" i="13"/>
  <c r="H8" i="13"/>
  <c r="E8" i="13"/>
  <c r="E6" i="13"/>
  <c r="AP25" i="13"/>
  <c r="AQ14" i="13"/>
  <c r="AQ15" i="13"/>
  <c r="AQ16" i="13"/>
  <c r="AQ17" i="13"/>
  <c r="AQ18" i="13"/>
  <c r="AQ19" i="13"/>
  <c r="AQ20" i="13"/>
  <c r="AQ21" i="13"/>
  <c r="AQ22" i="13"/>
  <c r="AQ23" i="13"/>
  <c r="AQ13" i="13"/>
  <c r="AL25" i="13"/>
  <c r="AM23" i="13"/>
  <c r="AM22" i="13"/>
  <c r="AM21" i="13"/>
  <c r="AM20" i="13"/>
  <c r="AM19" i="13"/>
  <c r="AM18" i="13"/>
  <c r="AM17" i="13"/>
  <c r="AM16" i="13"/>
  <c r="AM15" i="13"/>
  <c r="AM14" i="13"/>
  <c r="AM13" i="13"/>
  <c r="AM25" i="13" s="1"/>
  <c r="AI25" i="13"/>
  <c r="AJ23" i="13"/>
  <c r="AJ22" i="13"/>
  <c r="AJ21" i="13"/>
  <c r="AJ20" i="13"/>
  <c r="AJ19" i="13"/>
  <c r="AJ18" i="13"/>
  <c r="AJ17" i="13"/>
  <c r="AJ16" i="13"/>
  <c r="AJ15" i="13"/>
  <c r="AJ14" i="13"/>
  <c r="AJ13" i="13"/>
  <c r="AJ25" i="13" s="1"/>
  <c r="AF25" i="13"/>
  <c r="AG23" i="13"/>
  <c r="AG22" i="13"/>
  <c r="AG21" i="13"/>
  <c r="AG20" i="13"/>
  <c r="AG19" i="13"/>
  <c r="AG18" i="13"/>
  <c r="AG17" i="13"/>
  <c r="AG16" i="13"/>
  <c r="AG15" i="13"/>
  <c r="AG14" i="13"/>
  <c r="AG13" i="13"/>
  <c r="AG25" i="13" s="1"/>
  <c r="AC25" i="13"/>
  <c r="AD23" i="13"/>
  <c r="AD22" i="13"/>
  <c r="AD21" i="13"/>
  <c r="AD20" i="13"/>
  <c r="AD19" i="13"/>
  <c r="AD18" i="13"/>
  <c r="AD17" i="13"/>
  <c r="AD16" i="13"/>
  <c r="AD15" i="13"/>
  <c r="AD14" i="13"/>
  <c r="AD13" i="13"/>
  <c r="AD25" i="13" s="1"/>
  <c r="Z25" i="13"/>
  <c r="AA23" i="13"/>
  <c r="AA22" i="13"/>
  <c r="AA21" i="13"/>
  <c r="AA20" i="13"/>
  <c r="AA19" i="13"/>
  <c r="AA18" i="13"/>
  <c r="AA17" i="13"/>
  <c r="AA16" i="13"/>
  <c r="AA15" i="13"/>
  <c r="AA14" i="13"/>
  <c r="AA13" i="13"/>
  <c r="AA25" i="13" s="1"/>
  <c r="W25" i="13"/>
  <c r="X23" i="13"/>
  <c r="X22" i="13"/>
  <c r="X21" i="13"/>
  <c r="X20" i="13"/>
  <c r="X19" i="13"/>
  <c r="X18" i="13"/>
  <c r="X17" i="13"/>
  <c r="X16" i="13"/>
  <c r="X15" i="13"/>
  <c r="X14" i="13"/>
  <c r="X13" i="13"/>
  <c r="X25" i="13" s="1"/>
  <c r="T25" i="13"/>
  <c r="U23" i="13"/>
  <c r="U22" i="13"/>
  <c r="U21" i="13"/>
  <c r="U20" i="13"/>
  <c r="U19" i="13"/>
  <c r="U18" i="13"/>
  <c r="U17" i="13"/>
  <c r="U16" i="13"/>
  <c r="U15" i="13"/>
  <c r="U14" i="13"/>
  <c r="U13" i="13"/>
  <c r="U25" i="13" s="1"/>
  <c r="Q25" i="13"/>
  <c r="R23" i="13"/>
  <c r="R22" i="13"/>
  <c r="R21" i="13"/>
  <c r="R20" i="13"/>
  <c r="R19" i="13"/>
  <c r="R18" i="13"/>
  <c r="R17" i="13"/>
  <c r="R16" i="13"/>
  <c r="R15" i="13"/>
  <c r="R14" i="13"/>
  <c r="R13" i="13"/>
  <c r="R25" i="13" s="1"/>
  <c r="N25" i="13"/>
  <c r="O23" i="13"/>
  <c r="O22" i="13"/>
  <c r="O21" i="13"/>
  <c r="O20" i="13"/>
  <c r="O19" i="13"/>
  <c r="O18" i="13"/>
  <c r="O17" i="13"/>
  <c r="O16" i="13"/>
  <c r="O15" i="13"/>
  <c r="O14" i="13"/>
  <c r="O13" i="13"/>
  <c r="O25" i="13" s="1"/>
  <c r="K25" i="13"/>
  <c r="L23" i="13"/>
  <c r="L22" i="13"/>
  <c r="L21" i="13"/>
  <c r="L20" i="13"/>
  <c r="L19" i="13"/>
  <c r="L18" i="13"/>
  <c r="L17" i="13"/>
  <c r="L16" i="13"/>
  <c r="L15" i="13"/>
  <c r="L14" i="13"/>
  <c r="L13" i="13"/>
  <c r="L25" i="13" s="1"/>
  <c r="H25" i="13"/>
  <c r="I23" i="13"/>
  <c r="I22" i="13"/>
  <c r="I21" i="13"/>
  <c r="I20" i="13"/>
  <c r="I19" i="13"/>
  <c r="I18" i="13"/>
  <c r="I17" i="13"/>
  <c r="I16" i="13"/>
  <c r="I15" i="13"/>
  <c r="I14" i="13"/>
  <c r="I13" i="13"/>
  <c r="I25" i="13" s="1"/>
  <c r="E25" i="13"/>
  <c r="F14" i="13"/>
  <c r="F15" i="13"/>
  <c r="F16" i="13"/>
  <c r="F17" i="13"/>
  <c r="F18" i="13"/>
  <c r="F19" i="13"/>
  <c r="F20" i="13"/>
  <c r="F21" i="13"/>
  <c r="F22" i="13"/>
  <c r="F23" i="13"/>
  <c r="F13" i="13"/>
  <c r="AY7" i="13"/>
  <c r="AV7" i="13"/>
  <c r="AV6" i="13"/>
  <c r="AT6" i="13"/>
  <c r="BA4" i="13"/>
  <c r="BA6" i="13" s="1"/>
  <c r="AY4" i="13"/>
  <c r="AY6" i="13" s="1"/>
  <c r="AV4" i="13"/>
  <c r="AT4" i="13"/>
  <c r="AP23" i="13"/>
  <c r="AP22" i="13"/>
  <c r="AP21" i="13"/>
  <c r="AP20" i="13"/>
  <c r="AP19" i="13"/>
  <c r="AP18" i="13"/>
  <c r="AP17" i="13"/>
  <c r="AP16" i="13"/>
  <c r="AP15" i="13"/>
  <c r="AP14" i="13"/>
  <c r="AP13" i="13"/>
  <c r="H6" i="13"/>
  <c r="K6" i="13" s="1"/>
  <c r="N6" i="13" s="1"/>
  <c r="Q6" i="13" s="1"/>
  <c r="T6" i="13" s="1"/>
  <c r="W6" i="13" s="1"/>
  <c r="Z6" i="13" s="1"/>
  <c r="AC6" i="13" s="1"/>
  <c r="AF6" i="13" s="1"/>
  <c r="AI6" i="13" s="1"/>
  <c r="AL6" i="13" s="1"/>
  <c r="AP6" i="13" s="1"/>
  <c r="C7" i="6"/>
  <c r="AY7" i="12"/>
  <c r="AV7" i="12"/>
  <c r="AV6" i="12"/>
  <c r="AT6" i="12"/>
  <c r="BA4" i="12"/>
  <c r="BA6" i="12" s="1"/>
  <c r="AY4" i="12"/>
  <c r="AY6" i="12" s="1"/>
  <c r="AV4" i="12"/>
  <c r="AT4" i="12"/>
  <c r="AP8" i="12"/>
  <c r="AL8" i="12"/>
  <c r="AI8" i="12"/>
  <c r="AF8" i="12"/>
  <c r="AC8" i="12"/>
  <c r="Z8" i="12"/>
  <c r="W8" i="12"/>
  <c r="T8" i="12"/>
  <c r="Q8" i="12"/>
  <c r="N8" i="12"/>
  <c r="K8" i="12"/>
  <c r="H8" i="12"/>
  <c r="E8" i="12"/>
  <c r="E6" i="11"/>
  <c r="E6" i="10"/>
  <c r="E6" i="9"/>
  <c r="E6" i="12"/>
  <c r="B7" i="12"/>
  <c r="B6" i="12"/>
  <c r="AL24" i="12"/>
  <c r="AM22" i="12" s="1"/>
  <c r="AI24" i="12"/>
  <c r="AF24" i="12"/>
  <c r="AG21" i="12" s="1"/>
  <c r="AC24" i="12"/>
  <c r="AD20" i="12" s="1"/>
  <c r="Z24" i="12"/>
  <c r="AA22" i="12" s="1"/>
  <c r="W24" i="12"/>
  <c r="X20" i="12" s="1"/>
  <c r="T24" i="12"/>
  <c r="U21" i="12" s="1"/>
  <c r="Q24" i="12"/>
  <c r="R17" i="12" s="1"/>
  <c r="N24" i="12"/>
  <c r="O22" i="12" s="1"/>
  <c r="K24" i="12"/>
  <c r="H24" i="12"/>
  <c r="I21" i="12" s="1"/>
  <c r="E24" i="12"/>
  <c r="F21" i="12" s="1"/>
  <c r="AP22" i="12"/>
  <c r="AJ22" i="12"/>
  <c r="X22" i="12"/>
  <c r="R22" i="12"/>
  <c r="L22" i="12"/>
  <c r="AP21" i="12"/>
  <c r="AJ21" i="12"/>
  <c r="X21" i="12"/>
  <c r="L21" i="12"/>
  <c r="AP20" i="12"/>
  <c r="AJ20" i="12"/>
  <c r="R20" i="12"/>
  <c r="L20" i="12"/>
  <c r="AP19" i="12"/>
  <c r="AJ19" i="12"/>
  <c r="AD19" i="12"/>
  <c r="X19" i="12"/>
  <c r="R19" i="12"/>
  <c r="L19" i="12"/>
  <c r="AP18" i="12"/>
  <c r="AJ18" i="12"/>
  <c r="X18" i="12"/>
  <c r="L18" i="12"/>
  <c r="AP17" i="12"/>
  <c r="AJ17" i="12"/>
  <c r="L17" i="12"/>
  <c r="AP16" i="12"/>
  <c r="AJ16" i="12"/>
  <c r="AD16" i="12"/>
  <c r="X16" i="12"/>
  <c r="R16" i="12"/>
  <c r="L16" i="12"/>
  <c r="AP15" i="12"/>
  <c r="AJ15" i="12"/>
  <c r="AD15" i="12"/>
  <c r="X15" i="12"/>
  <c r="R15" i="12"/>
  <c r="L15" i="12"/>
  <c r="AP14" i="12"/>
  <c r="AJ14" i="12"/>
  <c r="AG14" i="12"/>
  <c r="AD14" i="12"/>
  <c r="X14" i="12"/>
  <c r="U14" i="12"/>
  <c r="L14" i="12"/>
  <c r="I14" i="12"/>
  <c r="AP13" i="12"/>
  <c r="AJ13" i="12"/>
  <c r="AJ24" i="12" s="1"/>
  <c r="X13" i="12"/>
  <c r="R13" i="12"/>
  <c r="L13" i="12"/>
  <c r="AJ6" i="12"/>
  <c r="AD6" i="12"/>
  <c r="X6" i="12"/>
  <c r="U6" i="12"/>
  <c r="R6" i="12"/>
  <c r="L6" i="12"/>
  <c r="H6" i="12"/>
  <c r="K6" i="12" s="1"/>
  <c r="N6" i="12" s="1"/>
  <c r="Q6" i="12" s="1"/>
  <c r="T6" i="12" s="1"/>
  <c r="W6" i="12" s="1"/>
  <c r="Z6" i="12" s="1"/>
  <c r="AC6" i="12" s="1"/>
  <c r="AF6" i="12" s="1"/>
  <c r="AI6" i="12" s="1"/>
  <c r="AL6" i="12" s="1"/>
  <c r="AP6" i="12" s="1"/>
  <c r="AY7" i="11"/>
  <c r="AV7" i="11"/>
  <c r="AV6" i="11"/>
  <c r="AT6" i="11"/>
  <c r="BA4" i="11"/>
  <c r="BA6" i="11" s="1"/>
  <c r="AY4" i="11"/>
  <c r="AY6" i="11" s="1"/>
  <c r="AV4" i="11"/>
  <c r="AT4" i="11"/>
  <c r="AQ14" i="11"/>
  <c r="AQ15" i="11"/>
  <c r="AQ16" i="11"/>
  <c r="AQ17" i="11"/>
  <c r="AQ18" i="11"/>
  <c r="AQ19" i="11"/>
  <c r="AQ20" i="11"/>
  <c r="AQ21" i="11"/>
  <c r="AQ22" i="11"/>
  <c r="AQ23" i="11"/>
  <c r="AQ24" i="11"/>
  <c r="AQ25" i="11"/>
  <c r="AQ26" i="11"/>
  <c r="AQ27" i="11"/>
  <c r="AQ28" i="11"/>
  <c r="AQ29" i="11"/>
  <c r="AQ30" i="11"/>
  <c r="AQ31" i="11"/>
  <c r="AL34" i="11"/>
  <c r="AL28" i="6" s="1"/>
  <c r="AM32" i="11"/>
  <c r="AM31" i="11"/>
  <c r="AM30" i="11"/>
  <c r="AM29" i="11"/>
  <c r="AM28" i="11"/>
  <c r="AM27" i="11"/>
  <c r="AM26" i="11"/>
  <c r="AM25" i="11"/>
  <c r="AM24" i="11"/>
  <c r="AM23" i="11"/>
  <c r="AM22" i="11"/>
  <c r="AM21" i="11"/>
  <c r="AM20" i="11"/>
  <c r="AM19" i="11"/>
  <c r="AM18" i="11"/>
  <c r="AM17" i="11"/>
  <c r="AM16" i="11"/>
  <c r="AM15" i="11"/>
  <c r="AM14" i="11"/>
  <c r="AM13" i="11"/>
  <c r="AM34" i="11" s="1"/>
  <c r="AI34" i="11"/>
  <c r="AI28" i="6" s="1"/>
  <c r="AJ32" i="11"/>
  <c r="AJ31" i="11"/>
  <c r="AJ30" i="11"/>
  <c r="AJ29" i="11"/>
  <c r="AJ28" i="11"/>
  <c r="AJ27" i="11"/>
  <c r="AJ26" i="11"/>
  <c r="AJ25" i="11"/>
  <c r="AJ24" i="11"/>
  <c r="AJ23" i="11"/>
  <c r="AJ22" i="11"/>
  <c r="AJ21" i="11"/>
  <c r="AJ20" i="11"/>
  <c r="AJ19" i="11"/>
  <c r="AJ18" i="11"/>
  <c r="AJ17" i="11"/>
  <c r="AJ16" i="11"/>
  <c r="AJ15" i="11"/>
  <c r="AJ14" i="11"/>
  <c r="AJ13" i="11"/>
  <c r="AF34" i="11"/>
  <c r="AF28" i="6" s="1"/>
  <c r="AG28" i="6" s="1"/>
  <c r="AG32" i="11"/>
  <c r="AG31" i="11"/>
  <c r="AG30" i="11"/>
  <c r="AG29" i="11"/>
  <c r="AG28" i="11"/>
  <c r="AG27" i="11"/>
  <c r="AG26" i="11"/>
  <c r="AG25" i="11"/>
  <c r="AG24" i="11"/>
  <c r="AG23" i="11"/>
  <c r="AG22" i="11"/>
  <c r="AG21" i="11"/>
  <c r="AG20" i="11"/>
  <c r="AG19" i="11"/>
  <c r="AG18" i="11"/>
  <c r="AG17" i="11"/>
  <c r="AG16" i="11"/>
  <c r="AG15" i="11"/>
  <c r="AG14" i="11"/>
  <c r="AG13" i="11"/>
  <c r="AG34" i="11" s="1"/>
  <c r="AC34" i="11"/>
  <c r="AC28" i="6" s="1"/>
  <c r="AD28" i="6" s="1"/>
  <c r="AD32" i="11"/>
  <c r="AD31" i="11"/>
  <c r="AD30" i="11"/>
  <c r="AD29" i="11"/>
  <c r="AD28" i="11"/>
  <c r="AD27" i="11"/>
  <c r="AD26" i="11"/>
  <c r="AD25" i="11"/>
  <c r="AD24" i="11"/>
  <c r="AD23" i="11"/>
  <c r="AD22" i="11"/>
  <c r="AD21" i="11"/>
  <c r="AD20" i="11"/>
  <c r="AD19" i="11"/>
  <c r="AD18" i="11"/>
  <c r="AD17" i="11"/>
  <c r="AD16" i="11"/>
  <c r="AD15" i="11"/>
  <c r="AD14" i="11"/>
  <c r="AD13" i="11"/>
  <c r="AD34" i="11" s="1"/>
  <c r="Z34" i="11"/>
  <c r="Z28" i="6" s="1"/>
  <c r="AA28" i="6" s="1"/>
  <c r="AA32" i="11"/>
  <c r="AA31" i="11"/>
  <c r="AA30" i="11"/>
  <c r="AA29" i="11"/>
  <c r="AA28" i="11"/>
  <c r="AA27" i="11"/>
  <c r="AA26" i="11"/>
  <c r="AA25" i="11"/>
  <c r="AA24" i="11"/>
  <c r="AA23" i="11"/>
  <c r="AA22" i="11"/>
  <c r="AA21" i="11"/>
  <c r="AA20" i="11"/>
  <c r="AA19" i="11"/>
  <c r="AA18" i="11"/>
  <c r="AA17" i="11"/>
  <c r="AA16" i="11"/>
  <c r="AA15" i="11"/>
  <c r="AA14" i="11"/>
  <c r="AA13" i="11"/>
  <c r="AA34" i="11" s="1"/>
  <c r="W34" i="11"/>
  <c r="W28" i="6" s="1"/>
  <c r="X28" i="6" s="1"/>
  <c r="X32" i="11"/>
  <c r="X31" i="11"/>
  <c r="X30" i="11"/>
  <c r="X29" i="11"/>
  <c r="X28" i="11"/>
  <c r="X27" i="11"/>
  <c r="X26" i="11"/>
  <c r="X25" i="11"/>
  <c r="X24" i="11"/>
  <c r="X23" i="11"/>
  <c r="X22" i="11"/>
  <c r="X21" i="11"/>
  <c r="X20" i="11"/>
  <c r="X19" i="11"/>
  <c r="X18" i="11"/>
  <c r="X17" i="11"/>
  <c r="X16" i="11"/>
  <c r="X15" i="11"/>
  <c r="X14" i="11"/>
  <c r="X13" i="11"/>
  <c r="T34" i="11"/>
  <c r="T28" i="6" s="1"/>
  <c r="U28" i="6" s="1"/>
  <c r="U32" i="11"/>
  <c r="U31" i="11"/>
  <c r="U30" i="11"/>
  <c r="U29" i="11"/>
  <c r="U28" i="11"/>
  <c r="U27" i="11"/>
  <c r="U26" i="11"/>
  <c r="U25" i="11"/>
  <c r="U24" i="11"/>
  <c r="U23" i="11"/>
  <c r="U22" i="11"/>
  <c r="U21" i="11"/>
  <c r="U20" i="11"/>
  <c r="U19" i="11"/>
  <c r="U18" i="11"/>
  <c r="U17" i="11"/>
  <c r="U16" i="11"/>
  <c r="U15" i="11"/>
  <c r="U14" i="11"/>
  <c r="U13" i="11"/>
  <c r="U34" i="11" s="1"/>
  <c r="Q34" i="11"/>
  <c r="Q28" i="6" s="1"/>
  <c r="R32" i="11"/>
  <c r="R31" i="11"/>
  <c r="R30" i="11"/>
  <c r="R29" i="11"/>
  <c r="R28" i="11"/>
  <c r="R27" i="11"/>
  <c r="R26" i="11"/>
  <c r="R25" i="11"/>
  <c r="R24" i="11"/>
  <c r="R23" i="11"/>
  <c r="R22" i="11"/>
  <c r="R21" i="11"/>
  <c r="R20" i="11"/>
  <c r="R19" i="11"/>
  <c r="R18" i="11"/>
  <c r="R17" i="11"/>
  <c r="R16" i="11"/>
  <c r="R15" i="11"/>
  <c r="R14" i="11"/>
  <c r="R13" i="11"/>
  <c r="R34" i="11" s="1"/>
  <c r="N34" i="11"/>
  <c r="N28" i="6" s="1"/>
  <c r="O32" i="11"/>
  <c r="O31" i="11"/>
  <c r="O30" i="11"/>
  <c r="O29" i="11"/>
  <c r="O28" i="11"/>
  <c r="O27" i="11"/>
  <c r="O26" i="11"/>
  <c r="O25" i="11"/>
  <c r="O24" i="11"/>
  <c r="O23" i="11"/>
  <c r="O22" i="11"/>
  <c r="O21" i="11"/>
  <c r="O20" i="11"/>
  <c r="O19" i="11"/>
  <c r="O18" i="11"/>
  <c r="O17" i="11"/>
  <c r="O16" i="11"/>
  <c r="O15" i="11"/>
  <c r="O14" i="11"/>
  <c r="O13" i="11"/>
  <c r="O34" i="11" s="1"/>
  <c r="K34" i="11"/>
  <c r="K28" i="6" s="1"/>
  <c r="L28" i="6" s="1"/>
  <c r="L32" i="11"/>
  <c r="L31" i="11"/>
  <c r="L30" i="11"/>
  <c r="L29" i="11"/>
  <c r="L28" i="11"/>
  <c r="L27" i="11"/>
  <c r="L26" i="11"/>
  <c r="L25" i="11"/>
  <c r="L24" i="11"/>
  <c r="L23" i="11"/>
  <c r="L22" i="11"/>
  <c r="L21" i="11"/>
  <c r="L20" i="11"/>
  <c r="L19" i="11"/>
  <c r="L18" i="11"/>
  <c r="L17" i="11"/>
  <c r="L16" i="11"/>
  <c r="L15" i="11"/>
  <c r="L14" i="11"/>
  <c r="L13" i="11"/>
  <c r="H34" i="11"/>
  <c r="H28" i="6" s="1"/>
  <c r="I32" i="11"/>
  <c r="I31" i="11"/>
  <c r="I30" i="11"/>
  <c r="I29" i="11"/>
  <c r="I28" i="11"/>
  <c r="I27" i="11"/>
  <c r="I26" i="11"/>
  <c r="I25" i="11"/>
  <c r="I24" i="11"/>
  <c r="I23" i="11"/>
  <c r="I22" i="11"/>
  <c r="I21" i="11"/>
  <c r="I20" i="11"/>
  <c r="I19" i="11"/>
  <c r="I18" i="11"/>
  <c r="I17" i="11"/>
  <c r="I16" i="11"/>
  <c r="I15" i="11"/>
  <c r="I14" i="11"/>
  <c r="I13" i="11"/>
  <c r="I34" i="11" s="1"/>
  <c r="E34" i="11"/>
  <c r="E28" i="6" s="1"/>
  <c r="F14" i="11"/>
  <c r="F15" i="11"/>
  <c r="F16" i="11"/>
  <c r="F17" i="11"/>
  <c r="F18" i="11"/>
  <c r="F19" i="11"/>
  <c r="F20" i="11"/>
  <c r="F21" i="11"/>
  <c r="F22" i="11"/>
  <c r="F23" i="11"/>
  <c r="F24" i="11"/>
  <c r="F25" i="11"/>
  <c r="F26" i="11"/>
  <c r="F27" i="11"/>
  <c r="F28" i="11"/>
  <c r="F29" i="11"/>
  <c r="F30" i="11"/>
  <c r="F31" i="11"/>
  <c r="F32" i="11"/>
  <c r="F13" i="11"/>
  <c r="F34" i="11" s="1"/>
  <c r="AQ8" i="11"/>
  <c r="AM8" i="11"/>
  <c r="AJ8" i="11"/>
  <c r="AG8" i="11"/>
  <c r="AD8" i="11"/>
  <c r="AA8" i="11"/>
  <c r="X8" i="11"/>
  <c r="U8" i="11"/>
  <c r="R8" i="11"/>
  <c r="O8" i="11"/>
  <c r="L8" i="11"/>
  <c r="I8" i="11"/>
  <c r="F8" i="11"/>
  <c r="AP9" i="11"/>
  <c r="AL9" i="11"/>
  <c r="AI9" i="11"/>
  <c r="AF9" i="11"/>
  <c r="AC9" i="11"/>
  <c r="Z9" i="11"/>
  <c r="W9" i="11"/>
  <c r="T9" i="11"/>
  <c r="Q9" i="11"/>
  <c r="N9" i="11"/>
  <c r="K9" i="11"/>
  <c r="H9" i="11"/>
  <c r="E9" i="11"/>
  <c r="AP8" i="11"/>
  <c r="AL8" i="11"/>
  <c r="AI8" i="11"/>
  <c r="AF8" i="11"/>
  <c r="AC8" i="11"/>
  <c r="Z8" i="11"/>
  <c r="W8" i="11"/>
  <c r="T8" i="11"/>
  <c r="Q8" i="11"/>
  <c r="N8" i="11"/>
  <c r="K8" i="11"/>
  <c r="H8" i="11"/>
  <c r="E8" i="11"/>
  <c r="B7" i="11"/>
  <c r="B6" i="11"/>
  <c r="B4" i="11"/>
  <c r="B3" i="11"/>
  <c r="B2" i="11"/>
  <c r="AP32" i="11"/>
  <c r="AQ32" i="11" s="1"/>
  <c r="AP31" i="11"/>
  <c r="AP30" i="11"/>
  <c r="AP29" i="11"/>
  <c r="AP28" i="11"/>
  <c r="AP27" i="11"/>
  <c r="AP26" i="11"/>
  <c r="AP25" i="11"/>
  <c r="AP24" i="11"/>
  <c r="AP23" i="11"/>
  <c r="AP22" i="11"/>
  <c r="AP21" i="11"/>
  <c r="AP20" i="11"/>
  <c r="AP19" i="11"/>
  <c r="AP18" i="11"/>
  <c r="AP17" i="11"/>
  <c r="AP16" i="11"/>
  <c r="AP15" i="11"/>
  <c r="AP14" i="11"/>
  <c r="AP13" i="11"/>
  <c r="H6" i="11"/>
  <c r="K6" i="11" s="1"/>
  <c r="N6" i="11" s="1"/>
  <c r="Q6" i="11" s="1"/>
  <c r="T6" i="11" s="1"/>
  <c r="W6" i="11" s="1"/>
  <c r="Z6" i="11" s="1"/>
  <c r="AC6" i="11" s="1"/>
  <c r="AF6" i="11" s="1"/>
  <c r="AI6" i="11" s="1"/>
  <c r="AL6" i="11" s="1"/>
  <c r="AP6" i="11" s="1"/>
  <c r="O155" i="1"/>
  <c r="AY7" i="10"/>
  <c r="AV6" i="10"/>
  <c r="AT6" i="10"/>
  <c r="BA4" i="10"/>
  <c r="BA6" i="10" s="1"/>
  <c r="AY4" i="10"/>
  <c r="AY6" i="10" s="1"/>
  <c r="AV4" i="10"/>
  <c r="AT4" i="10"/>
  <c r="AG24" i="10"/>
  <c r="AG23" i="10"/>
  <c r="AG22" i="10"/>
  <c r="AG21" i="10"/>
  <c r="AG20" i="10"/>
  <c r="AG19" i="10"/>
  <c r="AG18" i="10"/>
  <c r="AG17" i="10"/>
  <c r="AG16" i="10"/>
  <c r="AG15" i="10"/>
  <c r="AF14" i="10"/>
  <c r="AF26" i="10" s="1"/>
  <c r="AG13" i="10"/>
  <c r="AD24" i="10"/>
  <c r="AD23" i="10"/>
  <c r="AD22" i="10"/>
  <c r="AD21" i="10"/>
  <c r="AD20" i="10"/>
  <c r="AD19" i="10"/>
  <c r="AD18" i="10"/>
  <c r="AD17" i="10"/>
  <c r="AD16" i="10"/>
  <c r="AD15" i="10"/>
  <c r="AC14" i="10"/>
  <c r="AC26" i="10" s="1"/>
  <c r="AC27" i="6" s="1"/>
  <c r="AD13" i="10"/>
  <c r="AA24" i="10"/>
  <c r="AA23" i="10"/>
  <c r="AA22" i="10"/>
  <c r="AA21" i="10"/>
  <c r="AA20" i="10"/>
  <c r="AA19" i="10"/>
  <c r="AA18" i="10"/>
  <c r="AA17" i="10"/>
  <c r="AA16" i="10"/>
  <c r="AA15" i="10"/>
  <c r="Z14" i="10"/>
  <c r="Z26" i="10" s="1"/>
  <c r="Z27" i="6" s="1"/>
  <c r="AA13" i="10"/>
  <c r="X24" i="10"/>
  <c r="X23" i="10"/>
  <c r="X22" i="10"/>
  <c r="X21" i="10"/>
  <c r="X20" i="10"/>
  <c r="X19" i="10"/>
  <c r="X18" i="10"/>
  <c r="X17" i="10"/>
  <c r="X16" i="10"/>
  <c r="X15" i="10"/>
  <c r="W14" i="10"/>
  <c r="X14" i="10" s="1"/>
  <c r="X13" i="10"/>
  <c r="U24" i="10"/>
  <c r="U23" i="10"/>
  <c r="U22" i="10"/>
  <c r="U21" i="10"/>
  <c r="U20" i="10"/>
  <c r="U19" i="10"/>
  <c r="U18" i="10"/>
  <c r="U17" i="10"/>
  <c r="U16" i="10"/>
  <c r="U15" i="10"/>
  <c r="T14" i="10"/>
  <c r="T26" i="10" s="1"/>
  <c r="T27" i="6" s="1"/>
  <c r="U13" i="10"/>
  <c r="L24" i="10"/>
  <c r="L23" i="10"/>
  <c r="L22" i="10"/>
  <c r="L21" i="10"/>
  <c r="L20" i="10"/>
  <c r="L19" i="10"/>
  <c r="L18" i="10"/>
  <c r="L17" i="10"/>
  <c r="L16" i="10"/>
  <c r="L15" i="10"/>
  <c r="K14" i="10"/>
  <c r="K26" i="10" s="1"/>
  <c r="K27" i="6" s="1"/>
  <c r="L13" i="10"/>
  <c r="F24" i="10"/>
  <c r="F23" i="10"/>
  <c r="F22" i="10"/>
  <c r="F21" i="10"/>
  <c r="F20" i="10"/>
  <c r="F19" i="10"/>
  <c r="F18" i="10"/>
  <c r="F17" i="10"/>
  <c r="F16" i="10"/>
  <c r="F15" i="10"/>
  <c r="F13" i="10"/>
  <c r="F14" i="10"/>
  <c r="E14" i="10"/>
  <c r="AQ8" i="10"/>
  <c r="AM8" i="10"/>
  <c r="AJ8" i="10"/>
  <c r="AG8" i="10"/>
  <c r="AD8" i="10"/>
  <c r="AA8" i="10"/>
  <c r="X8" i="10"/>
  <c r="U8" i="10"/>
  <c r="R8" i="10"/>
  <c r="O8" i="10"/>
  <c r="L8" i="10"/>
  <c r="I8" i="10"/>
  <c r="F8" i="10"/>
  <c r="AP9" i="10"/>
  <c r="AL9" i="10"/>
  <c r="AI9" i="10"/>
  <c r="AF9" i="10"/>
  <c r="AC9" i="10"/>
  <c r="Z9" i="10"/>
  <c r="W9" i="10"/>
  <c r="T9" i="10"/>
  <c r="Q9" i="10"/>
  <c r="N9" i="10"/>
  <c r="K9" i="10"/>
  <c r="H9" i="10"/>
  <c r="E9" i="10"/>
  <c r="AP8" i="10"/>
  <c r="AL8" i="10"/>
  <c r="AI8" i="10"/>
  <c r="AF8" i="10"/>
  <c r="AC8" i="10"/>
  <c r="Z8" i="10"/>
  <c r="W8" i="10"/>
  <c r="T8" i="10"/>
  <c r="Q8" i="10"/>
  <c r="N8" i="10"/>
  <c r="K8" i="10"/>
  <c r="H8" i="10"/>
  <c r="E8" i="10"/>
  <c r="H6" i="10"/>
  <c r="K6" i="10" s="1"/>
  <c r="N6" i="10" s="1"/>
  <c r="Q6" i="10" s="1"/>
  <c r="T6" i="10" s="1"/>
  <c r="W6" i="10" s="1"/>
  <c r="Z6" i="10" s="1"/>
  <c r="AC6" i="10" s="1"/>
  <c r="AF6" i="10" s="1"/>
  <c r="AI6" i="10" s="1"/>
  <c r="AL6" i="10" s="1"/>
  <c r="AP6" i="10" s="1"/>
  <c r="B7" i="10"/>
  <c r="B6" i="10"/>
  <c r="B4" i="10"/>
  <c r="B3" i="10"/>
  <c r="B2" i="10"/>
  <c r="E26" i="10"/>
  <c r="E27" i="6" s="1"/>
  <c r="AJ25" i="10"/>
  <c r="AM25" i="10" s="1"/>
  <c r="AG25" i="10"/>
  <c r="AP24" i="10"/>
  <c r="AP23" i="10"/>
  <c r="AP22" i="10"/>
  <c r="AP21" i="10"/>
  <c r="AP20" i="10"/>
  <c r="AP19" i="10"/>
  <c r="AP18" i="10"/>
  <c r="AP17" i="10"/>
  <c r="AP16" i="10"/>
  <c r="AP15" i="10"/>
  <c r="AP13" i="10"/>
  <c r="D54" i="1"/>
  <c r="D63" i="1"/>
  <c r="D72" i="1"/>
  <c r="D82" i="1"/>
  <c r="D91" i="1"/>
  <c r="D100" i="1"/>
  <c r="D109" i="1"/>
  <c r="D118" i="1"/>
  <c r="D127" i="1"/>
  <c r="D136" i="1"/>
  <c r="D146" i="1"/>
  <c r="D155" i="1"/>
  <c r="D164" i="1"/>
  <c r="D173" i="1"/>
  <c r="D182" i="1"/>
  <c r="D191" i="1"/>
  <c r="D200" i="1"/>
  <c r="D210" i="1"/>
  <c r="D219" i="1"/>
  <c r="D228" i="1"/>
  <c r="D237" i="1"/>
  <c r="D246" i="1"/>
  <c r="D255" i="1"/>
  <c r="D264" i="1"/>
  <c r="D274" i="1"/>
  <c r="D283" i="1"/>
  <c r="D292" i="1"/>
  <c r="D301" i="1"/>
  <c r="D310" i="1"/>
  <c r="D319" i="1"/>
  <c r="D328" i="1"/>
  <c r="D395" i="1"/>
  <c r="D19" i="2"/>
  <c r="G10" i="5"/>
  <c r="S10" i="5"/>
  <c r="Q10" i="5"/>
  <c r="F54" i="1"/>
  <c r="F18" i="1"/>
  <c r="F27" i="1"/>
  <c r="F36" i="1"/>
  <c r="F45" i="1"/>
  <c r="F63" i="1"/>
  <c r="F72" i="1"/>
  <c r="F82" i="1"/>
  <c r="F91" i="1"/>
  <c r="F100" i="1"/>
  <c r="F109" i="1"/>
  <c r="F118" i="1"/>
  <c r="F127" i="1"/>
  <c r="F136" i="1"/>
  <c r="F146" i="1"/>
  <c r="F155" i="1"/>
  <c r="F164" i="1"/>
  <c r="F173" i="1"/>
  <c r="F182" i="1"/>
  <c r="F191" i="1"/>
  <c r="F200" i="1"/>
  <c r="F210" i="1"/>
  <c r="F219" i="1"/>
  <c r="F228" i="1"/>
  <c r="F237" i="1"/>
  <c r="F246" i="1"/>
  <c r="F255" i="1"/>
  <c r="F264" i="1"/>
  <c r="F274" i="1"/>
  <c r="F283" i="1"/>
  <c r="F292" i="1"/>
  <c r="F395" i="1"/>
  <c r="F19" i="2"/>
  <c r="G26" i="5"/>
  <c r="S26" i="5"/>
  <c r="Q26" i="5"/>
  <c r="AE10" i="5"/>
  <c r="AC10" i="5"/>
  <c r="AQ10" i="5"/>
  <c r="AO10" i="5"/>
  <c r="E10" i="5"/>
  <c r="E14" i="6"/>
  <c r="AE26" i="5"/>
  <c r="AC26" i="5"/>
  <c r="AQ26" i="5"/>
  <c r="AO26" i="5"/>
  <c r="E26" i="5"/>
  <c r="K14" i="6"/>
  <c r="AS13" i="6"/>
  <c r="AS12" i="6"/>
  <c r="AS11" i="6"/>
  <c r="K72" i="1"/>
  <c r="K82" i="1"/>
  <c r="K91" i="1"/>
  <c r="K100" i="1"/>
  <c r="K109" i="1"/>
  <c r="K118" i="1"/>
  <c r="K127" i="1"/>
  <c r="K136" i="1"/>
  <c r="K146" i="1"/>
  <c r="K155" i="1"/>
  <c r="K164" i="1"/>
  <c r="K173" i="1"/>
  <c r="K182" i="1"/>
  <c r="K191" i="1"/>
  <c r="K200" i="1"/>
  <c r="K210" i="1"/>
  <c r="K219" i="1"/>
  <c r="K228" i="1"/>
  <c r="K237" i="1"/>
  <c r="K246" i="1"/>
  <c r="K255" i="1"/>
  <c r="K264" i="1"/>
  <c r="K274" i="1"/>
  <c r="K283" i="1"/>
  <c r="K292" i="1"/>
  <c r="K301" i="1"/>
  <c r="K310" i="1"/>
  <c r="K319" i="1"/>
  <c r="K328" i="1"/>
  <c r="K338" i="1"/>
  <c r="K347" i="1"/>
  <c r="K395" i="1"/>
  <c r="K19" i="2"/>
  <c r="G66" i="5"/>
  <c r="S66" i="5"/>
  <c r="AE66" i="5"/>
  <c r="AQ66" i="5"/>
  <c r="AO66" i="5"/>
  <c r="I27" i="1"/>
  <c r="I36" i="1"/>
  <c r="I45" i="1"/>
  <c r="I54" i="1"/>
  <c r="I63" i="1"/>
  <c r="I72" i="1"/>
  <c r="I82" i="1"/>
  <c r="I91" i="1"/>
  <c r="I100" i="1"/>
  <c r="I109" i="1"/>
  <c r="I118" i="1"/>
  <c r="I127" i="1"/>
  <c r="I136" i="1"/>
  <c r="I146" i="1"/>
  <c r="I155" i="1"/>
  <c r="I164" i="1"/>
  <c r="I173" i="1"/>
  <c r="I182" i="1"/>
  <c r="I191" i="1"/>
  <c r="I200" i="1"/>
  <c r="I210" i="1"/>
  <c r="I219" i="1"/>
  <c r="I228" i="1"/>
  <c r="I237" i="1"/>
  <c r="I246" i="1"/>
  <c r="I255" i="1"/>
  <c r="I264" i="1"/>
  <c r="I274" i="1"/>
  <c r="I283" i="1"/>
  <c r="I292" i="1"/>
  <c r="I395" i="1"/>
  <c r="I19" i="2"/>
  <c r="G50" i="5"/>
  <c r="S50" i="5"/>
  <c r="AE50" i="5"/>
  <c r="AQ50" i="5"/>
  <c r="AO50" i="5"/>
  <c r="L63" i="1"/>
  <c r="L72" i="1"/>
  <c r="L82" i="1"/>
  <c r="L91" i="1"/>
  <c r="L100" i="1"/>
  <c r="L109" i="1"/>
  <c r="L118" i="1"/>
  <c r="L127" i="1"/>
  <c r="L136" i="1"/>
  <c r="L146" i="1"/>
  <c r="L155" i="1"/>
  <c r="L164" i="1"/>
  <c r="L173" i="1"/>
  <c r="L182" i="1"/>
  <c r="L191" i="1"/>
  <c r="L200" i="1"/>
  <c r="L210" i="1"/>
  <c r="L219" i="1"/>
  <c r="L228" i="1"/>
  <c r="L237" i="1"/>
  <c r="L246" i="1"/>
  <c r="L255" i="1"/>
  <c r="L264" i="1"/>
  <c r="L274" i="1"/>
  <c r="L283" i="1"/>
  <c r="L292" i="1"/>
  <c r="L301" i="1"/>
  <c r="L36" i="1"/>
  <c r="L45" i="1"/>
  <c r="L54" i="1"/>
  <c r="L395" i="1"/>
  <c r="L19" i="2"/>
  <c r="G74" i="5"/>
  <c r="S74" i="5"/>
  <c r="AE74" i="5"/>
  <c r="AQ74" i="5"/>
  <c r="AO74" i="5"/>
  <c r="M54" i="1"/>
  <c r="M63" i="1"/>
  <c r="M72" i="1"/>
  <c r="M82" i="1"/>
  <c r="M91" i="1"/>
  <c r="M100" i="1"/>
  <c r="M109" i="1"/>
  <c r="M118" i="1"/>
  <c r="M127" i="1"/>
  <c r="M136" i="1"/>
  <c r="M146" i="1"/>
  <c r="M155" i="1"/>
  <c r="M164" i="1"/>
  <c r="M173" i="1"/>
  <c r="M182" i="1"/>
  <c r="M191" i="1"/>
  <c r="M200" i="1"/>
  <c r="M210" i="1"/>
  <c r="M219" i="1"/>
  <c r="M228" i="1"/>
  <c r="M237" i="1"/>
  <c r="M246" i="1"/>
  <c r="M255" i="1"/>
  <c r="M264" i="1"/>
  <c r="M274" i="1"/>
  <c r="M283" i="1"/>
  <c r="M292" i="1"/>
  <c r="M301" i="1"/>
  <c r="M310" i="1"/>
  <c r="M319" i="1"/>
  <c r="M328" i="1"/>
  <c r="M395" i="1"/>
  <c r="M19" i="2"/>
  <c r="G82" i="5"/>
  <c r="S82" i="5"/>
  <c r="AE82" i="5"/>
  <c r="AQ82" i="5"/>
  <c r="AO82" i="5"/>
  <c r="Q66" i="5"/>
  <c r="AC66" i="5"/>
  <c r="E66" i="5"/>
  <c r="Z14" i="6"/>
  <c r="Q50" i="5"/>
  <c r="AC50" i="5"/>
  <c r="E50" i="5"/>
  <c r="T14" i="6"/>
  <c r="Q74" i="5"/>
  <c r="AC74" i="5"/>
  <c r="E74" i="5"/>
  <c r="AC14" i="6"/>
  <c r="Q82" i="5"/>
  <c r="AC82" i="5"/>
  <c r="E82" i="5"/>
  <c r="AF14" i="6"/>
  <c r="BF7" i="5"/>
  <c r="BC7" i="5"/>
  <c r="AV95" i="5"/>
  <c r="AT95" i="5"/>
  <c r="AT87" i="5"/>
  <c r="AV87" i="5"/>
  <c r="AV79" i="5"/>
  <c r="AT79" i="5"/>
  <c r="AT71" i="5"/>
  <c r="AV71" i="5"/>
  <c r="AV63" i="5"/>
  <c r="AT63" i="5"/>
  <c r="AT55" i="5"/>
  <c r="AV55" i="5"/>
  <c r="AV47" i="5"/>
  <c r="AT47" i="5"/>
  <c r="AT39" i="5"/>
  <c r="AV39" i="5"/>
  <c r="AV31" i="5"/>
  <c r="AT31" i="5"/>
  <c r="AT23" i="5"/>
  <c r="AV23" i="5"/>
  <c r="AV15" i="5"/>
  <c r="AT15" i="5"/>
  <c r="AQ97" i="5"/>
  <c r="AQ95" i="5"/>
  <c r="AQ89" i="5"/>
  <c r="AQ87" i="5"/>
  <c r="AQ81" i="5"/>
  <c r="AQ79" i="5"/>
  <c r="AQ73" i="5"/>
  <c r="AQ71" i="5"/>
  <c r="AQ65" i="5"/>
  <c r="AQ63" i="5"/>
  <c r="AQ57" i="5"/>
  <c r="AQ55" i="5"/>
  <c r="AQ49" i="5"/>
  <c r="AQ47" i="5"/>
  <c r="AQ41" i="5"/>
  <c r="AQ39" i="5"/>
  <c r="AQ33" i="5"/>
  <c r="AQ31" i="5"/>
  <c r="AQ25" i="5"/>
  <c r="AQ23" i="5"/>
  <c r="AQ17" i="5"/>
  <c r="AQ15" i="5"/>
  <c r="AO97" i="5"/>
  <c r="AO95" i="5"/>
  <c r="AO89" i="5"/>
  <c r="AO87" i="5"/>
  <c r="AO81" i="5"/>
  <c r="AO79" i="5"/>
  <c r="AO73" i="5"/>
  <c r="AO71" i="5"/>
  <c r="AO65" i="5"/>
  <c r="AO63" i="5"/>
  <c r="AO57" i="5"/>
  <c r="AO55" i="5"/>
  <c r="AO49" i="5"/>
  <c r="AO47" i="5"/>
  <c r="AO41" i="5"/>
  <c r="AO39" i="5"/>
  <c r="AO33" i="5"/>
  <c r="AO31" i="5"/>
  <c r="AO25" i="5"/>
  <c r="AO23" i="5"/>
  <c r="AO17" i="5"/>
  <c r="AO15" i="5"/>
  <c r="AQ9" i="5"/>
  <c r="AO9" i="5"/>
  <c r="AV7" i="5"/>
  <c r="AT7" i="5"/>
  <c r="AQ7" i="5"/>
  <c r="AO7" i="5"/>
  <c r="AJ95" i="5"/>
  <c r="AH95" i="5"/>
  <c r="AH87" i="5"/>
  <c r="AJ87" i="5"/>
  <c r="AJ79" i="5"/>
  <c r="AH79" i="5"/>
  <c r="AH71" i="5"/>
  <c r="AJ71" i="5"/>
  <c r="AJ63" i="5"/>
  <c r="AH63" i="5"/>
  <c r="AH55" i="5"/>
  <c r="AJ55" i="5"/>
  <c r="AJ47" i="5"/>
  <c r="AH47" i="5"/>
  <c r="AH39" i="5"/>
  <c r="AJ39" i="5"/>
  <c r="AJ31" i="5"/>
  <c r="AH31" i="5"/>
  <c r="AJ23" i="5"/>
  <c r="AH23" i="5"/>
  <c r="AJ15" i="5"/>
  <c r="AH15" i="5"/>
  <c r="AE97" i="5"/>
  <c r="AE95" i="5"/>
  <c r="AE89" i="5"/>
  <c r="AE87" i="5"/>
  <c r="AE81" i="5"/>
  <c r="AE79" i="5"/>
  <c r="AE73" i="5"/>
  <c r="AE71" i="5"/>
  <c r="AE65" i="5"/>
  <c r="AE63" i="5"/>
  <c r="AE57" i="5"/>
  <c r="AE55" i="5"/>
  <c r="AE49" i="5"/>
  <c r="AE47" i="5"/>
  <c r="AE41" i="5"/>
  <c r="AE39" i="5"/>
  <c r="AE33" i="5"/>
  <c r="AE31" i="5"/>
  <c r="AE25" i="5"/>
  <c r="AE23" i="5"/>
  <c r="AE17" i="5"/>
  <c r="AE15" i="5"/>
  <c r="AC105" i="5"/>
  <c r="AC103" i="5"/>
  <c r="AC97" i="5"/>
  <c r="AC95" i="5"/>
  <c r="AC89" i="5"/>
  <c r="AC87" i="5"/>
  <c r="AC81" i="5"/>
  <c r="AC79" i="5"/>
  <c r="AC73" i="5"/>
  <c r="AC71" i="5"/>
  <c r="AC65" i="5"/>
  <c r="AC63" i="5"/>
  <c r="AC57" i="5"/>
  <c r="AC55" i="5"/>
  <c r="AC49" i="5"/>
  <c r="AC47" i="5"/>
  <c r="AC41" i="5"/>
  <c r="AC39" i="5"/>
  <c r="AC33" i="5"/>
  <c r="AC31" i="5"/>
  <c r="AC25" i="5"/>
  <c r="AC23" i="5"/>
  <c r="AC17" i="5"/>
  <c r="AC15" i="5"/>
  <c r="AE9" i="5"/>
  <c r="AC9" i="5"/>
  <c r="AJ7" i="5"/>
  <c r="AH7" i="5"/>
  <c r="AE7" i="5"/>
  <c r="AC7" i="5"/>
  <c r="V95" i="5"/>
  <c r="X95" i="5"/>
  <c r="X87" i="5"/>
  <c r="V87" i="5"/>
  <c r="V79" i="5"/>
  <c r="X79" i="5"/>
  <c r="X71" i="5"/>
  <c r="V71" i="5"/>
  <c r="X63" i="5"/>
  <c r="V63" i="5"/>
  <c r="X55" i="5"/>
  <c r="V55" i="5"/>
  <c r="X47" i="5"/>
  <c r="V47" i="5"/>
  <c r="X39" i="5"/>
  <c r="V39" i="5"/>
  <c r="X31" i="5"/>
  <c r="V31" i="5"/>
  <c r="X23" i="5"/>
  <c r="V23" i="5"/>
  <c r="V15" i="5"/>
  <c r="X15" i="5"/>
  <c r="S97" i="5"/>
  <c r="S89" i="5"/>
  <c r="S81" i="5"/>
  <c r="S73" i="5"/>
  <c r="S65" i="5"/>
  <c r="S57" i="5"/>
  <c r="S49" i="5"/>
  <c r="S41" i="5"/>
  <c r="S33" i="5"/>
  <c r="S25" i="5"/>
  <c r="S17" i="5"/>
  <c r="Q97" i="5"/>
  <c r="Q89" i="5"/>
  <c r="Q81" i="5"/>
  <c r="Q73" i="5"/>
  <c r="Q65" i="5"/>
  <c r="Q57" i="5"/>
  <c r="Q49" i="5"/>
  <c r="Q41" i="5"/>
  <c r="Q33" i="5"/>
  <c r="Q25" i="5"/>
  <c r="Q17" i="5"/>
  <c r="S9" i="5"/>
  <c r="Q9" i="5"/>
  <c r="X7" i="5"/>
  <c r="V7" i="5"/>
  <c r="S7" i="5"/>
  <c r="Q7" i="5"/>
  <c r="L103" i="5"/>
  <c r="J103" i="5"/>
  <c r="L95" i="5"/>
  <c r="J95" i="5"/>
  <c r="L87" i="5"/>
  <c r="J87" i="5"/>
  <c r="L79" i="5"/>
  <c r="J79" i="5"/>
  <c r="L71" i="5"/>
  <c r="J71" i="5"/>
  <c r="L63" i="5"/>
  <c r="J63" i="5"/>
  <c r="L55" i="5"/>
  <c r="J55" i="5"/>
  <c r="L47" i="5"/>
  <c r="J47" i="5"/>
  <c r="L39" i="5"/>
  <c r="J39" i="5"/>
  <c r="L31" i="5"/>
  <c r="J31" i="5"/>
  <c r="L23" i="5"/>
  <c r="J23" i="5"/>
  <c r="L15" i="5"/>
  <c r="J15" i="5"/>
  <c r="G105" i="5"/>
  <c r="G97" i="5"/>
  <c r="G89" i="5"/>
  <c r="G81" i="5"/>
  <c r="G73" i="5"/>
  <c r="G65" i="5"/>
  <c r="G57" i="5"/>
  <c r="G49" i="5"/>
  <c r="G41" i="5"/>
  <c r="G33" i="5"/>
  <c r="G25" i="5"/>
  <c r="G17" i="5"/>
  <c r="E105" i="5"/>
  <c r="E103" i="5"/>
  <c r="E97" i="5"/>
  <c r="E89" i="5"/>
  <c r="E81" i="5"/>
  <c r="E73" i="5"/>
  <c r="E65" i="5"/>
  <c r="E57" i="5"/>
  <c r="E49" i="5"/>
  <c r="E41" i="5"/>
  <c r="E33" i="5"/>
  <c r="E17" i="5"/>
  <c r="E25" i="5"/>
  <c r="BR98" i="5"/>
  <c r="BR90" i="5"/>
  <c r="BR82" i="5"/>
  <c r="BO82" i="5"/>
  <c r="BT79" i="5"/>
  <c r="BT87" i="5"/>
  <c r="BT95" i="5"/>
  <c r="BT97" i="5"/>
  <c r="BR79" i="5"/>
  <c r="BR87" i="5"/>
  <c r="BR95" i="5"/>
  <c r="BR97" i="5"/>
  <c r="BO25" i="5"/>
  <c r="BO33" i="5"/>
  <c r="BO41" i="5"/>
  <c r="BO49" i="5"/>
  <c r="BO57" i="5"/>
  <c r="BO65" i="5"/>
  <c r="BO73" i="5"/>
  <c r="BO81" i="5"/>
  <c r="BO89" i="5"/>
  <c r="BO97" i="5"/>
  <c r="BM81" i="5"/>
  <c r="BM89" i="5"/>
  <c r="BM97" i="5"/>
  <c r="S15" i="5"/>
  <c r="S23" i="5"/>
  <c r="BO23" i="5"/>
  <c r="BO31" i="5"/>
  <c r="BO39" i="5"/>
  <c r="BO47" i="5"/>
  <c r="BO55" i="5"/>
  <c r="BO63" i="5"/>
  <c r="BO71" i="5"/>
  <c r="BO79" i="5"/>
  <c r="BO87" i="5"/>
  <c r="BO95" i="5"/>
  <c r="BM79" i="5"/>
  <c r="BM87" i="5"/>
  <c r="BM95" i="5"/>
  <c r="BT89" i="5"/>
  <c r="BR89" i="5"/>
  <c r="BT81" i="5"/>
  <c r="BR81" i="5"/>
  <c r="BF98" i="5"/>
  <c r="BF90" i="5"/>
  <c r="BF82" i="5"/>
  <c r="BC82" i="5"/>
  <c r="BC25" i="5"/>
  <c r="BC33" i="5"/>
  <c r="BC41" i="5"/>
  <c r="BC49" i="5"/>
  <c r="BC57" i="5"/>
  <c r="BC65" i="5"/>
  <c r="BC73" i="5"/>
  <c r="BC81" i="5"/>
  <c r="BC89" i="5"/>
  <c r="BC97" i="5"/>
  <c r="BA97" i="5"/>
  <c r="BH95" i="5"/>
  <c r="BF95" i="5"/>
  <c r="BA89" i="5"/>
  <c r="BH87" i="5"/>
  <c r="BF87" i="5"/>
  <c r="BA81" i="5"/>
  <c r="BH79" i="5"/>
  <c r="BF79" i="5"/>
  <c r="BH97" i="5"/>
  <c r="BF97" i="5"/>
  <c r="BC79" i="5"/>
  <c r="BC87" i="5"/>
  <c r="BC95" i="5"/>
  <c r="BA79" i="5"/>
  <c r="BA87" i="5"/>
  <c r="BA95" i="5"/>
  <c r="BH89" i="5"/>
  <c r="BF89" i="5"/>
  <c r="BH81" i="5"/>
  <c r="BF81" i="5"/>
  <c r="BR74" i="5"/>
  <c r="BR66" i="5"/>
  <c r="BR58" i="5"/>
  <c r="BO74" i="5"/>
  <c r="BO66" i="5"/>
  <c r="BO58" i="5"/>
  <c r="BT55" i="5"/>
  <c r="BT63" i="5"/>
  <c r="BT71" i="5"/>
  <c r="BT73" i="5"/>
  <c r="BR63" i="5"/>
  <c r="BR71" i="5"/>
  <c r="BR73" i="5"/>
  <c r="BM57" i="5"/>
  <c r="BM65" i="5"/>
  <c r="BM73" i="5"/>
  <c r="BM55" i="5"/>
  <c r="BM63" i="5"/>
  <c r="BM71" i="5"/>
  <c r="BT65" i="5"/>
  <c r="BR65" i="5"/>
  <c r="BT57" i="5"/>
  <c r="BR57" i="5"/>
  <c r="BF74" i="5"/>
  <c r="BF66" i="5"/>
  <c r="BF58" i="5"/>
  <c r="BC74" i="5"/>
  <c r="BC66" i="5"/>
  <c r="BC58" i="5"/>
  <c r="BH71" i="5"/>
  <c r="BF71" i="5"/>
  <c r="BA73" i="5"/>
  <c r="BA65" i="5"/>
  <c r="BH63" i="5"/>
  <c r="BF63" i="5"/>
  <c r="BC63" i="5"/>
  <c r="BA63" i="5"/>
  <c r="BA57" i="5"/>
  <c r="BH55" i="5"/>
  <c r="BH73" i="5"/>
  <c r="BF73" i="5"/>
  <c r="BC55" i="5"/>
  <c r="BC71" i="5"/>
  <c r="BA55" i="5"/>
  <c r="BA71" i="5"/>
  <c r="BH65" i="5"/>
  <c r="BF65" i="5"/>
  <c r="BH57" i="5"/>
  <c r="BF57" i="5"/>
  <c r="BR50" i="5"/>
  <c r="BR42" i="5"/>
  <c r="BR34" i="5"/>
  <c r="BO50" i="5"/>
  <c r="BT31" i="5"/>
  <c r="BT39" i="5"/>
  <c r="BT47" i="5"/>
  <c r="BT49" i="5"/>
  <c r="BR23" i="5"/>
  <c r="BR31" i="5"/>
  <c r="BR39" i="5"/>
  <c r="BR47" i="5"/>
  <c r="BR49" i="5"/>
  <c r="BM33" i="5"/>
  <c r="BM41" i="5"/>
  <c r="BM49" i="5"/>
  <c r="BM31" i="5"/>
  <c r="BM39" i="5"/>
  <c r="BM47" i="5"/>
  <c r="BT41" i="5"/>
  <c r="BR41" i="5"/>
  <c r="BT33" i="5"/>
  <c r="BR33" i="5"/>
  <c r="BF50" i="5"/>
  <c r="BF42" i="5"/>
  <c r="BF34" i="5"/>
  <c r="BC50" i="5"/>
  <c r="BA49" i="5"/>
  <c r="BA41" i="5"/>
  <c r="BA33" i="5"/>
  <c r="BH47" i="5"/>
  <c r="BF23" i="5"/>
  <c r="BF31" i="5"/>
  <c r="BF39" i="5"/>
  <c r="BF47" i="5"/>
  <c r="BH39" i="5"/>
  <c r="BH31" i="5"/>
  <c r="BH49" i="5"/>
  <c r="BF49" i="5"/>
  <c r="BC31" i="5"/>
  <c r="BC39" i="5"/>
  <c r="BC47" i="5"/>
  <c r="BA31" i="5"/>
  <c r="BA39" i="5"/>
  <c r="BA47" i="5"/>
  <c r="BH41" i="5"/>
  <c r="BF41" i="5"/>
  <c r="BH33" i="5"/>
  <c r="BF33" i="5"/>
  <c r="BO26" i="5"/>
  <c r="BR26" i="5"/>
  <c r="BC26" i="5"/>
  <c r="BF26" i="5"/>
  <c r="BT23" i="5"/>
  <c r="BT25" i="5"/>
  <c r="BR25" i="5"/>
  <c r="BM25" i="5"/>
  <c r="BH23" i="5"/>
  <c r="BH25" i="5"/>
  <c r="BF25" i="5"/>
  <c r="BA25" i="5"/>
  <c r="BM23" i="5"/>
  <c r="BC23" i="5"/>
  <c r="BA23" i="5"/>
  <c r="BT15" i="5"/>
  <c r="BM17" i="5"/>
  <c r="BM15" i="5"/>
  <c r="BH15" i="5"/>
  <c r="BA17" i="5"/>
  <c r="BA15" i="5"/>
  <c r="BR18" i="5"/>
  <c r="BF18" i="5"/>
  <c r="BT17" i="5"/>
  <c r="BR15" i="5"/>
  <c r="BR17" i="5"/>
  <c r="BO17" i="5"/>
  <c r="BH17" i="5"/>
  <c r="BF15" i="5"/>
  <c r="BF17" i="5"/>
  <c r="BC17" i="5"/>
  <c r="BO15" i="5"/>
  <c r="BC15" i="5"/>
  <c r="BR10" i="5"/>
  <c r="BO10" i="5"/>
  <c r="BT9" i="5"/>
  <c r="BR7" i="5"/>
  <c r="BR9" i="5"/>
  <c r="BO9" i="5"/>
  <c r="BO7" i="5"/>
  <c r="BF10" i="5"/>
  <c r="BH9" i="5"/>
  <c r="BF9" i="5"/>
  <c r="BC9" i="5"/>
  <c r="BC10" i="5"/>
  <c r="BJ6" i="6"/>
  <c r="V103" i="5"/>
  <c r="AH103" i="5"/>
  <c r="AT103" i="5"/>
  <c r="BF103" i="5"/>
  <c r="BR103" i="5"/>
  <c r="BH4" i="6"/>
  <c r="BH6" i="6"/>
  <c r="BJ4" i="6"/>
  <c r="BE6" i="6"/>
  <c r="BE4" i="6"/>
  <c r="BC6" i="6"/>
  <c r="BC4" i="6"/>
  <c r="BA6" i="8"/>
  <c r="AY4" i="8"/>
  <c r="AY6" i="8"/>
  <c r="BA4" i="8"/>
  <c r="AV6" i="8"/>
  <c r="AV4" i="8"/>
  <c r="AT6" i="8"/>
  <c r="AT4" i="8"/>
  <c r="BA6" i="9"/>
  <c r="AY4" i="9"/>
  <c r="AY6" i="9"/>
  <c r="BA4" i="9"/>
  <c r="AV6" i="9"/>
  <c r="AV4" i="9"/>
  <c r="AT6" i="9"/>
  <c r="AT4" i="9"/>
  <c r="BA6" i="7"/>
  <c r="AY4" i="7"/>
  <c r="AY6" i="7"/>
  <c r="BA4" i="7"/>
  <c r="AV6" i="7"/>
  <c r="AV4" i="7"/>
  <c r="AT6" i="7"/>
  <c r="AT4" i="7"/>
  <c r="J45" i="1"/>
  <c r="J54" i="1"/>
  <c r="J63" i="1"/>
  <c r="J72" i="1"/>
  <c r="J82" i="1"/>
  <c r="J91" i="1"/>
  <c r="J100" i="1"/>
  <c r="J109" i="1"/>
  <c r="J118" i="1"/>
  <c r="J127" i="1"/>
  <c r="J136" i="1"/>
  <c r="J146" i="1"/>
  <c r="J155" i="1"/>
  <c r="J164" i="1"/>
  <c r="J173" i="1"/>
  <c r="J182" i="1"/>
  <c r="J191" i="1"/>
  <c r="J200" i="1"/>
  <c r="J210" i="1"/>
  <c r="J219" i="1"/>
  <c r="J228" i="1"/>
  <c r="J237" i="1"/>
  <c r="J246" i="1"/>
  <c r="J255" i="1"/>
  <c r="J264" i="1"/>
  <c r="J274" i="1"/>
  <c r="J283" i="1"/>
  <c r="J292" i="1"/>
  <c r="J301" i="1"/>
  <c r="J310" i="1"/>
  <c r="J319" i="1"/>
  <c r="J395" i="1"/>
  <c r="J19" i="2"/>
  <c r="G58" i="5"/>
  <c r="S58" i="5"/>
  <c r="Q58" i="5"/>
  <c r="AE58" i="5"/>
  <c r="AC58" i="5"/>
  <c r="AQ58" i="5"/>
  <c r="AO58" i="5"/>
  <c r="E58" i="5"/>
  <c r="W14" i="6"/>
  <c r="AS34" i="6"/>
  <c r="AS38" i="6"/>
  <c r="AS39" i="6"/>
  <c r="BR106" i="5"/>
  <c r="BM113" i="5"/>
  <c r="BM111" i="5"/>
  <c r="BO113" i="5"/>
  <c r="BO111" i="5"/>
  <c r="BO105" i="5"/>
  <c r="BO103" i="5"/>
  <c r="BR113" i="5"/>
  <c r="BT105" i="5"/>
  <c r="BR105" i="5"/>
  <c r="BF105" i="5"/>
  <c r="AT113" i="5"/>
  <c r="AT111" i="5"/>
  <c r="X103" i="5"/>
  <c r="AJ103" i="5"/>
  <c r="AV103" i="5"/>
  <c r="AV105" i="5"/>
  <c r="AT105" i="5"/>
  <c r="AQ111" i="5"/>
  <c r="S105" i="5"/>
  <c r="AE105" i="5"/>
  <c r="AQ105" i="5"/>
  <c r="AQ113" i="5"/>
  <c r="Q105" i="5"/>
  <c r="AO105" i="5"/>
  <c r="AO113" i="5"/>
  <c r="Q103" i="5"/>
  <c r="AO103" i="5"/>
  <c r="AO111" i="5"/>
  <c r="AQ103" i="5"/>
  <c r="AH113" i="5"/>
  <c r="AH111" i="5"/>
  <c r="AJ105" i="5"/>
  <c r="AH105" i="5"/>
  <c r="AE113" i="5"/>
  <c r="AC113" i="5"/>
  <c r="AE111" i="5"/>
  <c r="AC111" i="5"/>
  <c r="AE103" i="5"/>
  <c r="S103" i="5"/>
  <c r="V111" i="5"/>
  <c r="V113" i="5"/>
  <c r="X105" i="5"/>
  <c r="V105" i="5"/>
  <c r="G113" i="5"/>
  <c r="S113" i="5"/>
  <c r="E113" i="5"/>
  <c r="Q113" i="5"/>
  <c r="S111" i="5"/>
  <c r="Q111" i="5"/>
  <c r="J113" i="5"/>
  <c r="L105" i="5"/>
  <c r="J105" i="5"/>
  <c r="G111" i="5"/>
  <c r="E111" i="5"/>
  <c r="BA113" i="5"/>
  <c r="BF106" i="5"/>
  <c r="BC111" i="5"/>
  <c r="BA111" i="5"/>
  <c r="BF113" i="5"/>
  <c r="BH105" i="5"/>
  <c r="BH7" i="6"/>
  <c r="AT7" i="9"/>
  <c r="AY7" i="9"/>
  <c r="AY7" i="7"/>
  <c r="AY7" i="8"/>
  <c r="AT7" i="8"/>
  <c r="C65" i="8"/>
  <c r="C59" i="8"/>
  <c r="C53" i="8"/>
  <c r="C47" i="8"/>
  <c r="C41" i="8"/>
  <c r="C35" i="8"/>
  <c r="C29" i="8"/>
  <c r="C23" i="8"/>
  <c r="C17" i="8"/>
  <c r="C11" i="8"/>
  <c r="B38" i="9"/>
  <c r="B16" i="7"/>
  <c r="B14" i="7"/>
  <c r="AQ8" i="9"/>
  <c r="AM8" i="9"/>
  <c r="AJ8" i="9"/>
  <c r="AG8" i="9"/>
  <c r="AD8" i="9"/>
  <c r="AA8" i="9"/>
  <c r="X8" i="9"/>
  <c r="U8" i="9"/>
  <c r="R8" i="9"/>
  <c r="O8" i="9"/>
  <c r="L8" i="9"/>
  <c r="I8" i="9"/>
  <c r="F8" i="9"/>
  <c r="AP8" i="9"/>
  <c r="AL8" i="9"/>
  <c r="AI8" i="9"/>
  <c r="AF8" i="9"/>
  <c r="AC8" i="9"/>
  <c r="Z8" i="9"/>
  <c r="W8" i="9"/>
  <c r="T8" i="9"/>
  <c r="Q8" i="9"/>
  <c r="N8" i="9"/>
  <c r="K8" i="9"/>
  <c r="H8" i="9"/>
  <c r="E8" i="9"/>
  <c r="AP9" i="9"/>
  <c r="AL9" i="9"/>
  <c r="AI9" i="9"/>
  <c r="AF9" i="9"/>
  <c r="AC9" i="9"/>
  <c r="Z9" i="9"/>
  <c r="W9" i="9"/>
  <c r="T9" i="9"/>
  <c r="Q9" i="9"/>
  <c r="N9" i="9"/>
  <c r="K9" i="9"/>
  <c r="H9" i="9"/>
  <c r="E9" i="9"/>
  <c r="AV20" i="6"/>
  <c r="AV19" i="6"/>
  <c r="AQ40" i="9"/>
  <c r="AQ41" i="9"/>
  <c r="AP41" i="9"/>
  <c r="AP40" i="9"/>
  <c r="AL27" i="9"/>
  <c r="AI27" i="9"/>
  <c r="AF27" i="9"/>
  <c r="AC27" i="9"/>
  <c r="Z27" i="9"/>
  <c r="W27" i="9"/>
  <c r="T27" i="9"/>
  <c r="Q27" i="9"/>
  <c r="N27" i="9"/>
  <c r="K27" i="9"/>
  <c r="H27" i="9"/>
  <c r="E27" i="9"/>
  <c r="AP27" i="9"/>
  <c r="AP28" i="9"/>
  <c r="AP29" i="9"/>
  <c r="AP30" i="9"/>
  <c r="AL31" i="9"/>
  <c r="AI31" i="9"/>
  <c r="AF31" i="9"/>
  <c r="AC31" i="9"/>
  <c r="Z31" i="9"/>
  <c r="W31" i="9"/>
  <c r="T31" i="9"/>
  <c r="Q31" i="9"/>
  <c r="N31" i="9"/>
  <c r="K31" i="9"/>
  <c r="H31" i="9"/>
  <c r="E31" i="9"/>
  <c r="AP31" i="9"/>
  <c r="AP32" i="9"/>
  <c r="AP33" i="9"/>
  <c r="AP34" i="9"/>
  <c r="AP35" i="9"/>
  <c r="AP36" i="9"/>
  <c r="AL13" i="9"/>
  <c r="AL14" i="9"/>
  <c r="AL15" i="9"/>
  <c r="AL16" i="9"/>
  <c r="AL17" i="9"/>
  <c r="AL18" i="9"/>
  <c r="AL19" i="9"/>
  <c r="AL20" i="9"/>
  <c r="AL21" i="9"/>
  <c r="AL23" i="9"/>
  <c r="AI13" i="9"/>
  <c r="AI14" i="9"/>
  <c r="AI15" i="9"/>
  <c r="AI16" i="9"/>
  <c r="AI17" i="9"/>
  <c r="AI18" i="9"/>
  <c r="AI19" i="9"/>
  <c r="AI20" i="9"/>
  <c r="AI21" i="9"/>
  <c r="AI23" i="9"/>
  <c r="AF13" i="9"/>
  <c r="AF14" i="9"/>
  <c r="AF15" i="9"/>
  <c r="AF16" i="9"/>
  <c r="AF17" i="9"/>
  <c r="AF18" i="9"/>
  <c r="AF19" i="9"/>
  <c r="AF20" i="9"/>
  <c r="AF21" i="9"/>
  <c r="AF23" i="9"/>
  <c r="AC13" i="9"/>
  <c r="AC14" i="9"/>
  <c r="AC15" i="9"/>
  <c r="AC16" i="9"/>
  <c r="AC17" i="9"/>
  <c r="AC18" i="9"/>
  <c r="AC19" i="9"/>
  <c r="AC20" i="9"/>
  <c r="AC21" i="9"/>
  <c r="AC23" i="9"/>
  <c r="Z13" i="9"/>
  <c r="Z14" i="9"/>
  <c r="Z15" i="9"/>
  <c r="Z16" i="9"/>
  <c r="Z17" i="9"/>
  <c r="Z18" i="9"/>
  <c r="Z19" i="9"/>
  <c r="Z20" i="9"/>
  <c r="Z21" i="9"/>
  <c r="Z23" i="9"/>
  <c r="W13" i="9"/>
  <c r="W14" i="9"/>
  <c r="W15" i="9"/>
  <c r="W16" i="9"/>
  <c r="W17" i="9"/>
  <c r="W18" i="9"/>
  <c r="W19" i="9"/>
  <c r="W20" i="9"/>
  <c r="W21" i="9"/>
  <c r="W23" i="9"/>
  <c r="T13" i="9"/>
  <c r="T14" i="9"/>
  <c r="T15" i="9"/>
  <c r="T16" i="9"/>
  <c r="T17" i="9"/>
  <c r="T18" i="9"/>
  <c r="T19" i="9"/>
  <c r="T20" i="9"/>
  <c r="T21" i="9"/>
  <c r="T23" i="9"/>
  <c r="Q13" i="9"/>
  <c r="Q14" i="9"/>
  <c r="Q15" i="9"/>
  <c r="Q16" i="9"/>
  <c r="Q17" i="9"/>
  <c r="Q18" i="9"/>
  <c r="Q19" i="9"/>
  <c r="Q20" i="9"/>
  <c r="Q21" i="9"/>
  <c r="Q23" i="9"/>
  <c r="N13" i="9"/>
  <c r="N14" i="9"/>
  <c r="N15" i="9"/>
  <c r="N16" i="9"/>
  <c r="N17" i="9"/>
  <c r="N18" i="9"/>
  <c r="N19" i="9"/>
  <c r="N20" i="9"/>
  <c r="N21" i="9"/>
  <c r="N23" i="9"/>
  <c r="K13" i="9"/>
  <c r="K14" i="9"/>
  <c r="K15" i="9"/>
  <c r="K16" i="9"/>
  <c r="K17" i="9"/>
  <c r="K18" i="9"/>
  <c r="K19" i="9"/>
  <c r="K20" i="9"/>
  <c r="K21" i="9"/>
  <c r="K23" i="9"/>
  <c r="H13" i="9"/>
  <c r="H14" i="9"/>
  <c r="H15" i="9"/>
  <c r="H16" i="9"/>
  <c r="H17" i="9"/>
  <c r="H18" i="9"/>
  <c r="H19" i="9"/>
  <c r="H20" i="9"/>
  <c r="H21" i="9"/>
  <c r="H23" i="9"/>
  <c r="E13" i="9"/>
  <c r="E14" i="9"/>
  <c r="E15" i="9"/>
  <c r="E16" i="9"/>
  <c r="E17" i="9"/>
  <c r="E18" i="9"/>
  <c r="E19" i="9"/>
  <c r="E20" i="9"/>
  <c r="E21" i="9"/>
  <c r="E23" i="9"/>
  <c r="AP23" i="9"/>
  <c r="AL36" i="9"/>
  <c r="AL41" i="9"/>
  <c r="AM41" i="9"/>
  <c r="AI36" i="9"/>
  <c r="AI41" i="9"/>
  <c r="AJ41" i="9"/>
  <c r="AF36" i="9"/>
  <c r="AF41" i="9"/>
  <c r="AG41" i="9"/>
  <c r="AC36" i="9"/>
  <c r="AC41" i="9"/>
  <c r="AD41" i="9"/>
  <c r="Z36" i="9"/>
  <c r="Z41" i="9"/>
  <c r="AA41" i="9"/>
  <c r="W36" i="9"/>
  <c r="W41" i="9"/>
  <c r="X41" i="9"/>
  <c r="T36" i="9"/>
  <c r="T41" i="9"/>
  <c r="U41" i="9"/>
  <c r="Q36" i="9"/>
  <c r="Q41" i="9"/>
  <c r="R41" i="9"/>
  <c r="N36" i="9"/>
  <c r="N41" i="9"/>
  <c r="O41" i="9"/>
  <c r="K36" i="9"/>
  <c r="K41" i="9"/>
  <c r="L41" i="9"/>
  <c r="H36" i="9"/>
  <c r="H41" i="9"/>
  <c r="I41" i="9"/>
  <c r="E36" i="9"/>
  <c r="E41" i="9"/>
  <c r="F41" i="9"/>
  <c r="AL40" i="9"/>
  <c r="AM40" i="9"/>
  <c r="AI40" i="9"/>
  <c r="AJ40" i="9"/>
  <c r="AF40" i="9"/>
  <c r="AG40" i="9"/>
  <c r="AC40" i="9"/>
  <c r="AD40" i="9"/>
  <c r="Z40" i="9"/>
  <c r="AA40" i="9"/>
  <c r="W40" i="9"/>
  <c r="X40" i="9"/>
  <c r="T40" i="9"/>
  <c r="U40" i="9"/>
  <c r="Q40" i="9"/>
  <c r="R40" i="9"/>
  <c r="N40" i="9"/>
  <c r="O40" i="9"/>
  <c r="K40" i="9"/>
  <c r="L40" i="9"/>
  <c r="H40" i="9"/>
  <c r="I40" i="9"/>
  <c r="E40" i="9"/>
  <c r="F40" i="9"/>
  <c r="AL13" i="8"/>
  <c r="AL19" i="8"/>
  <c r="AL25" i="8"/>
  <c r="AL31" i="8"/>
  <c r="AL37" i="8"/>
  <c r="AL43" i="8"/>
  <c r="AL49" i="8"/>
  <c r="AL55" i="8"/>
  <c r="AL61" i="8"/>
  <c r="AL67" i="8"/>
  <c r="AL14" i="8"/>
  <c r="AL20" i="8"/>
  <c r="AL44" i="8"/>
  <c r="AL56" i="8"/>
  <c r="AL62" i="8"/>
  <c r="AL32" i="8"/>
  <c r="AL38" i="8"/>
  <c r="AL68" i="8"/>
  <c r="AL20" i="6"/>
  <c r="AL19" i="6"/>
  <c r="AL21" i="6"/>
  <c r="AI13" i="8"/>
  <c r="AI19" i="8"/>
  <c r="AI25" i="8"/>
  <c r="AI31" i="8"/>
  <c r="AI37" i="8"/>
  <c r="AI43" i="8"/>
  <c r="AI49" i="8"/>
  <c r="AI55" i="8"/>
  <c r="AI61" i="8"/>
  <c r="AI67" i="8"/>
  <c r="AI14" i="8"/>
  <c r="AI20" i="8"/>
  <c r="AI44" i="8"/>
  <c r="AI56" i="8"/>
  <c r="AI62" i="8"/>
  <c r="AI32" i="8"/>
  <c r="AI38" i="8"/>
  <c r="AI68" i="8"/>
  <c r="AI20" i="6"/>
  <c r="AI19" i="6"/>
  <c r="AI21" i="6"/>
  <c r="AF13" i="8"/>
  <c r="AF19" i="8"/>
  <c r="AF25" i="8"/>
  <c r="AF31" i="8"/>
  <c r="AF37" i="8"/>
  <c r="AF43" i="8"/>
  <c r="AF49" i="8"/>
  <c r="AF55" i="8"/>
  <c r="AF61" i="8"/>
  <c r="AF67" i="8"/>
  <c r="AF14" i="8"/>
  <c r="AF20" i="8"/>
  <c r="AF44" i="8"/>
  <c r="AF56" i="8"/>
  <c r="AF62" i="8"/>
  <c r="AF32" i="8"/>
  <c r="AF38" i="8"/>
  <c r="AF68" i="8"/>
  <c r="AF20" i="6"/>
  <c r="AF19" i="6"/>
  <c r="AF21" i="6"/>
  <c r="AG21" i="6"/>
  <c r="AC13" i="8"/>
  <c r="AC19" i="8"/>
  <c r="AC25" i="8"/>
  <c r="AC31" i="8"/>
  <c r="AC37" i="8"/>
  <c r="AC43" i="8"/>
  <c r="AC49" i="8"/>
  <c r="AC55" i="8"/>
  <c r="AC61" i="8"/>
  <c r="AC67" i="8"/>
  <c r="AC14" i="8"/>
  <c r="AC20" i="8"/>
  <c r="AC44" i="8"/>
  <c r="AC56" i="8"/>
  <c r="AC62" i="8"/>
  <c r="AC32" i="8"/>
  <c r="AC38" i="8"/>
  <c r="AC68" i="8"/>
  <c r="AC20" i="6"/>
  <c r="AC19" i="6"/>
  <c r="AC21" i="6"/>
  <c r="AD21" i="6"/>
  <c r="Z13" i="8"/>
  <c r="Z19" i="8"/>
  <c r="Z25" i="8"/>
  <c r="Z31" i="8"/>
  <c r="Z37" i="8"/>
  <c r="Z43" i="8"/>
  <c r="Z49" i="8"/>
  <c r="Z55" i="8"/>
  <c r="Z61" i="8"/>
  <c r="Z67" i="8"/>
  <c r="Z14" i="8"/>
  <c r="Z20" i="8"/>
  <c r="Z44" i="8"/>
  <c r="Z56" i="8"/>
  <c r="Z62" i="8"/>
  <c r="Z32" i="8"/>
  <c r="Z38" i="8"/>
  <c r="Z68" i="8"/>
  <c r="Z20" i="6"/>
  <c r="Z19" i="6"/>
  <c r="Z21" i="6"/>
  <c r="AA21" i="6"/>
  <c r="W13" i="8"/>
  <c r="W19" i="8"/>
  <c r="W25" i="8"/>
  <c r="W31" i="8"/>
  <c r="W37" i="8"/>
  <c r="W43" i="8"/>
  <c r="W49" i="8"/>
  <c r="W55" i="8"/>
  <c r="W61" i="8"/>
  <c r="W67" i="8"/>
  <c r="W14" i="8"/>
  <c r="W20" i="8"/>
  <c r="W44" i="8"/>
  <c r="W56" i="8"/>
  <c r="W62" i="8"/>
  <c r="W32" i="8"/>
  <c r="W38" i="8"/>
  <c r="W68" i="8"/>
  <c r="W20" i="6"/>
  <c r="W19" i="6"/>
  <c r="W21" i="6"/>
  <c r="X21" i="6"/>
  <c r="T13" i="8"/>
  <c r="T19" i="8"/>
  <c r="T25" i="8"/>
  <c r="T31" i="8"/>
  <c r="T37" i="8"/>
  <c r="T43" i="8"/>
  <c r="T49" i="8"/>
  <c r="T55" i="8"/>
  <c r="T61" i="8"/>
  <c r="T67" i="8"/>
  <c r="T14" i="8"/>
  <c r="T20" i="8"/>
  <c r="T44" i="8"/>
  <c r="T56" i="8"/>
  <c r="T62" i="8"/>
  <c r="T32" i="8"/>
  <c r="T38" i="8"/>
  <c r="T68" i="8"/>
  <c r="T20" i="6"/>
  <c r="T19" i="6"/>
  <c r="T21" i="6"/>
  <c r="U21" i="6"/>
  <c r="Q13" i="8"/>
  <c r="Q19" i="8"/>
  <c r="Q25" i="8"/>
  <c r="Q31" i="8"/>
  <c r="Q37" i="8"/>
  <c r="Q43" i="8"/>
  <c r="Q49" i="8"/>
  <c r="Q55" i="8"/>
  <c r="Q61" i="8"/>
  <c r="Q67" i="8"/>
  <c r="Q14" i="8"/>
  <c r="Q20" i="8"/>
  <c r="Q44" i="8"/>
  <c r="Q56" i="8"/>
  <c r="Q62" i="8"/>
  <c r="Q32" i="8"/>
  <c r="Q38" i="8"/>
  <c r="Q68" i="8"/>
  <c r="Q20" i="6"/>
  <c r="Q19" i="6"/>
  <c r="Q21" i="6"/>
  <c r="N13" i="8"/>
  <c r="N19" i="8"/>
  <c r="N25" i="8"/>
  <c r="N31" i="8"/>
  <c r="N37" i="8"/>
  <c r="N43" i="8"/>
  <c r="N49" i="8"/>
  <c r="N55" i="8"/>
  <c r="N61" i="8"/>
  <c r="N67" i="8"/>
  <c r="N14" i="8"/>
  <c r="N44" i="8"/>
  <c r="N50" i="8"/>
  <c r="N20" i="8"/>
  <c r="N56" i="8"/>
  <c r="N62" i="8"/>
  <c r="N32" i="8"/>
  <c r="N38" i="8"/>
  <c r="N68" i="8"/>
  <c r="N20" i="6"/>
  <c r="N19" i="6"/>
  <c r="N21" i="6"/>
  <c r="K13" i="8"/>
  <c r="K19" i="8"/>
  <c r="K25" i="8"/>
  <c r="K31" i="8"/>
  <c r="K37" i="8"/>
  <c r="K43" i="8"/>
  <c r="K49" i="8"/>
  <c r="K55" i="8"/>
  <c r="K61" i="8"/>
  <c r="K67" i="8"/>
  <c r="K14" i="8"/>
  <c r="K44" i="8"/>
  <c r="K50" i="8"/>
  <c r="K20" i="8"/>
  <c r="K56" i="8"/>
  <c r="K62" i="8"/>
  <c r="K32" i="8"/>
  <c r="K38" i="8"/>
  <c r="K68" i="8"/>
  <c r="K20" i="6"/>
  <c r="K19" i="6"/>
  <c r="K21" i="6"/>
  <c r="L21" i="6"/>
  <c r="H13" i="8"/>
  <c r="H19" i="8"/>
  <c r="H25" i="8"/>
  <c r="H31" i="8"/>
  <c r="H37" i="8"/>
  <c r="H43" i="8"/>
  <c r="H49" i="8"/>
  <c r="H55" i="8"/>
  <c r="H61" i="8"/>
  <c r="H67" i="8"/>
  <c r="H14" i="8"/>
  <c r="H44" i="8"/>
  <c r="H50" i="8"/>
  <c r="H20" i="8"/>
  <c r="H56" i="8"/>
  <c r="H62" i="8"/>
  <c r="H32" i="8"/>
  <c r="H38" i="8"/>
  <c r="H68" i="8"/>
  <c r="H20" i="6"/>
  <c r="H19" i="6"/>
  <c r="H21" i="6"/>
  <c r="E13" i="8"/>
  <c r="E19" i="8"/>
  <c r="E25" i="8"/>
  <c r="E31" i="8"/>
  <c r="E37" i="8"/>
  <c r="E43" i="8"/>
  <c r="E49" i="8"/>
  <c r="E55" i="8"/>
  <c r="E61" i="8"/>
  <c r="E67" i="8"/>
  <c r="E14" i="8"/>
  <c r="E44" i="8"/>
  <c r="E50" i="8"/>
  <c r="E20" i="8"/>
  <c r="E56" i="8"/>
  <c r="E62" i="8"/>
  <c r="E32" i="8"/>
  <c r="E38" i="8"/>
  <c r="E68" i="8"/>
  <c r="E20" i="6"/>
  <c r="E19" i="6"/>
  <c r="E21" i="6"/>
  <c r="F21" i="6"/>
  <c r="C68" i="8"/>
  <c r="C62" i="8"/>
  <c r="C56" i="8"/>
  <c r="C50" i="8"/>
  <c r="C44" i="8"/>
  <c r="C38" i="8"/>
  <c r="C32" i="8"/>
  <c r="C26" i="8"/>
  <c r="C20" i="8"/>
  <c r="C14" i="8"/>
  <c r="C66" i="8"/>
  <c r="C60" i="8"/>
  <c r="C54" i="8"/>
  <c r="C48" i="8"/>
  <c r="C42" i="8"/>
  <c r="C36" i="8"/>
  <c r="C30" i="8"/>
  <c r="C24" i="8"/>
  <c r="C18" i="8"/>
  <c r="C19" i="8"/>
  <c r="C67" i="8"/>
  <c r="C61" i="8"/>
  <c r="C55" i="8"/>
  <c r="C49" i="8"/>
  <c r="C43" i="8"/>
  <c r="C37" i="8"/>
  <c r="C31" i="8"/>
  <c r="C25" i="8"/>
  <c r="C13" i="8"/>
  <c r="C12" i="8"/>
  <c r="B14" i="8"/>
  <c r="B20" i="8"/>
  <c r="B32" i="8"/>
  <c r="B38" i="8"/>
  <c r="B44" i="8"/>
  <c r="B50" i="8"/>
  <c r="B56" i="8"/>
  <c r="B62" i="8"/>
  <c r="B68" i="8"/>
  <c r="B26" i="8"/>
  <c r="B13" i="8"/>
  <c r="B66" i="8"/>
  <c r="B60" i="8"/>
  <c r="B54" i="8"/>
  <c r="B48" i="8"/>
  <c r="B42" i="8"/>
  <c r="B36" i="8"/>
  <c r="B30" i="8"/>
  <c r="B24" i="8"/>
  <c r="B18" i="8"/>
  <c r="B12" i="8"/>
  <c r="AL26" i="8"/>
  <c r="AL50" i="8"/>
  <c r="AI26" i="8"/>
  <c r="AI50" i="8"/>
  <c r="AF26" i="8"/>
  <c r="AF50" i="8"/>
  <c r="AC26" i="8"/>
  <c r="AC50" i="8"/>
  <c r="Z26" i="8"/>
  <c r="Z50" i="8"/>
  <c r="W26" i="8"/>
  <c r="W50" i="8"/>
  <c r="T26" i="8"/>
  <c r="T50" i="8"/>
  <c r="Q26" i="8"/>
  <c r="Q50" i="8"/>
  <c r="N26" i="8"/>
  <c r="K26" i="8"/>
  <c r="H26" i="8"/>
  <c r="E26" i="8"/>
  <c r="AP38" i="9"/>
  <c r="AL38" i="9"/>
  <c r="AI38" i="9"/>
  <c r="AF38" i="9"/>
  <c r="AG38" i="9"/>
  <c r="AC38" i="9"/>
  <c r="AD38" i="9"/>
  <c r="Z38" i="9"/>
  <c r="AA38" i="9"/>
  <c r="W38" i="9"/>
  <c r="X38" i="9"/>
  <c r="T38" i="9"/>
  <c r="U38" i="9"/>
  <c r="Q38" i="9"/>
  <c r="N38" i="9"/>
  <c r="K38" i="9"/>
  <c r="L38" i="9"/>
  <c r="H38" i="9"/>
  <c r="E38" i="9"/>
  <c r="F38" i="9"/>
  <c r="AP14" i="9"/>
  <c r="AP15" i="9"/>
  <c r="AP16" i="9"/>
  <c r="AP17" i="9"/>
  <c r="AP18" i="9"/>
  <c r="AP19" i="9"/>
  <c r="AP20" i="9"/>
  <c r="AP21" i="9"/>
  <c r="AP13" i="9"/>
  <c r="AM27" i="9"/>
  <c r="AM28" i="9"/>
  <c r="AM29" i="9"/>
  <c r="AM30" i="9"/>
  <c r="AM31" i="9"/>
  <c r="AM32" i="9"/>
  <c r="AM33" i="9"/>
  <c r="AM34" i="9"/>
  <c r="AM35" i="9"/>
  <c r="AM36" i="9"/>
  <c r="AM13" i="9"/>
  <c r="AM14" i="9"/>
  <c r="AM15" i="9"/>
  <c r="AM16" i="9"/>
  <c r="AM17" i="9"/>
  <c r="AM18" i="9"/>
  <c r="AM19" i="9"/>
  <c r="AM20" i="9"/>
  <c r="AM21" i="9"/>
  <c r="AM23" i="9"/>
  <c r="AJ27" i="9"/>
  <c r="AJ28" i="9"/>
  <c r="AJ29" i="9"/>
  <c r="AJ30" i="9"/>
  <c r="AJ31" i="9"/>
  <c r="AJ32" i="9"/>
  <c r="AJ33" i="9"/>
  <c r="AJ34" i="9"/>
  <c r="AJ35" i="9"/>
  <c r="AJ36" i="9"/>
  <c r="AJ13" i="9"/>
  <c r="AJ14" i="9"/>
  <c r="AJ15" i="9"/>
  <c r="AJ16" i="9"/>
  <c r="AJ17" i="9"/>
  <c r="AJ18" i="9"/>
  <c r="AJ19" i="9"/>
  <c r="AJ20" i="9"/>
  <c r="AJ21" i="9"/>
  <c r="AJ23" i="9"/>
  <c r="AG27" i="9"/>
  <c r="AG28" i="9"/>
  <c r="AG29" i="9"/>
  <c r="AG30" i="9"/>
  <c r="AG31" i="9"/>
  <c r="AG32" i="9"/>
  <c r="AG33" i="9"/>
  <c r="AG34" i="9"/>
  <c r="AG35" i="9"/>
  <c r="AG36" i="9"/>
  <c r="AG13" i="9"/>
  <c r="AG14" i="9"/>
  <c r="AG15" i="9"/>
  <c r="AG16" i="9"/>
  <c r="AG17" i="9"/>
  <c r="AG18" i="9"/>
  <c r="AG19" i="9"/>
  <c r="AG20" i="9"/>
  <c r="AG21" i="9"/>
  <c r="AG23" i="9"/>
  <c r="AD27" i="9"/>
  <c r="AD28" i="9"/>
  <c r="AD29" i="9"/>
  <c r="AD30" i="9"/>
  <c r="AD31" i="9"/>
  <c r="AD32" i="9"/>
  <c r="AD33" i="9"/>
  <c r="AD34" i="9"/>
  <c r="AD35" i="9"/>
  <c r="AD36" i="9"/>
  <c r="AD13" i="9"/>
  <c r="AD14" i="9"/>
  <c r="AD15" i="9"/>
  <c r="AD16" i="9"/>
  <c r="AD17" i="9"/>
  <c r="AD18" i="9"/>
  <c r="AD19" i="9"/>
  <c r="AD20" i="9"/>
  <c r="AD21" i="9"/>
  <c r="AD23" i="9"/>
  <c r="AA27" i="9"/>
  <c r="AA28" i="9"/>
  <c r="AA29" i="9"/>
  <c r="AA30" i="9"/>
  <c r="AA31" i="9"/>
  <c r="AA32" i="9"/>
  <c r="AA33" i="9"/>
  <c r="AA34" i="9"/>
  <c r="AA35" i="9"/>
  <c r="AA36" i="9"/>
  <c r="AA13" i="9"/>
  <c r="AA14" i="9"/>
  <c r="AA15" i="9"/>
  <c r="AA16" i="9"/>
  <c r="AA17" i="9"/>
  <c r="AA18" i="9"/>
  <c r="AA19" i="9"/>
  <c r="AA20" i="9"/>
  <c r="AA21" i="9"/>
  <c r="AA23" i="9"/>
  <c r="X27" i="9"/>
  <c r="X28" i="9"/>
  <c r="X29" i="9"/>
  <c r="X30" i="9"/>
  <c r="X31" i="9"/>
  <c r="X32" i="9"/>
  <c r="X33" i="9"/>
  <c r="X34" i="9"/>
  <c r="X35" i="9"/>
  <c r="X36" i="9"/>
  <c r="X13" i="9"/>
  <c r="X14" i="9"/>
  <c r="X15" i="9"/>
  <c r="X16" i="9"/>
  <c r="X17" i="9"/>
  <c r="X18" i="9"/>
  <c r="X19" i="9"/>
  <c r="X20" i="9"/>
  <c r="X21" i="9"/>
  <c r="X23" i="9"/>
  <c r="U27" i="9"/>
  <c r="U28" i="9"/>
  <c r="U29" i="9"/>
  <c r="U30" i="9"/>
  <c r="U31" i="9"/>
  <c r="U32" i="9"/>
  <c r="U33" i="9"/>
  <c r="U34" i="9"/>
  <c r="U35" i="9"/>
  <c r="U36" i="9"/>
  <c r="U13" i="9"/>
  <c r="U14" i="9"/>
  <c r="U15" i="9"/>
  <c r="U16" i="9"/>
  <c r="U17" i="9"/>
  <c r="U18" i="9"/>
  <c r="U19" i="9"/>
  <c r="U20" i="9"/>
  <c r="U21" i="9"/>
  <c r="U23" i="9"/>
  <c r="R27" i="9"/>
  <c r="R28" i="9"/>
  <c r="R29" i="9"/>
  <c r="R30" i="9"/>
  <c r="R31" i="9"/>
  <c r="R32" i="9"/>
  <c r="R33" i="9"/>
  <c r="R34" i="9"/>
  <c r="R35" i="9"/>
  <c r="R36" i="9"/>
  <c r="R13" i="9"/>
  <c r="R14" i="9"/>
  <c r="R15" i="9"/>
  <c r="R16" i="9"/>
  <c r="R17" i="9"/>
  <c r="R18" i="9"/>
  <c r="R19" i="9"/>
  <c r="R20" i="9"/>
  <c r="R21" i="9"/>
  <c r="R23" i="9"/>
  <c r="O27" i="9"/>
  <c r="O28" i="9"/>
  <c r="O29" i="9"/>
  <c r="O30" i="9"/>
  <c r="O31" i="9"/>
  <c r="O32" i="9"/>
  <c r="O33" i="9"/>
  <c r="O34" i="9"/>
  <c r="O35" i="9"/>
  <c r="O36" i="9"/>
  <c r="O13" i="9"/>
  <c r="O14" i="9"/>
  <c r="O15" i="9"/>
  <c r="O16" i="9"/>
  <c r="O17" i="9"/>
  <c r="O18" i="9"/>
  <c r="O19" i="9"/>
  <c r="O20" i="9"/>
  <c r="O21" i="9"/>
  <c r="O23" i="9"/>
  <c r="L27" i="9"/>
  <c r="L28" i="9"/>
  <c r="L29" i="9"/>
  <c r="L30" i="9"/>
  <c r="L31" i="9"/>
  <c r="L32" i="9"/>
  <c r="L33" i="9"/>
  <c r="L34" i="9"/>
  <c r="L35" i="9"/>
  <c r="L36" i="9"/>
  <c r="L13" i="9"/>
  <c r="L14" i="9"/>
  <c r="L15" i="9"/>
  <c r="L16" i="9"/>
  <c r="L17" i="9"/>
  <c r="L18" i="9"/>
  <c r="L19" i="9"/>
  <c r="L20" i="9"/>
  <c r="L21" i="9"/>
  <c r="L23" i="9"/>
  <c r="I27" i="9"/>
  <c r="I28" i="9"/>
  <c r="I29" i="9"/>
  <c r="I30" i="9"/>
  <c r="I31" i="9"/>
  <c r="I32" i="9"/>
  <c r="I33" i="9"/>
  <c r="I34" i="9"/>
  <c r="I35" i="9"/>
  <c r="I36" i="9"/>
  <c r="I13" i="9"/>
  <c r="I14" i="9"/>
  <c r="I15" i="9"/>
  <c r="I16" i="9"/>
  <c r="I17" i="9"/>
  <c r="I18" i="9"/>
  <c r="I19" i="9"/>
  <c r="I20" i="9"/>
  <c r="I21" i="9"/>
  <c r="I23" i="9"/>
  <c r="F13" i="9"/>
  <c r="F14" i="9"/>
  <c r="F15" i="9"/>
  <c r="F16" i="9"/>
  <c r="F17" i="9"/>
  <c r="F18" i="9"/>
  <c r="F19" i="9"/>
  <c r="F20" i="9"/>
  <c r="F21" i="9"/>
  <c r="F23" i="9"/>
  <c r="F27" i="9"/>
  <c r="F31" i="9"/>
  <c r="F28" i="9"/>
  <c r="F29" i="9"/>
  <c r="F30" i="9"/>
  <c r="F32" i="9"/>
  <c r="F33" i="9"/>
  <c r="F34" i="9"/>
  <c r="F35" i="9"/>
  <c r="B19" i="8"/>
  <c r="B25" i="8"/>
  <c r="B31" i="8"/>
  <c r="B37" i="8"/>
  <c r="B43" i="8"/>
  <c r="B49" i="8"/>
  <c r="B55" i="8"/>
  <c r="B61" i="8"/>
  <c r="B67" i="8"/>
  <c r="AL66" i="8"/>
  <c r="AL69" i="8"/>
  <c r="AL63" i="8"/>
  <c r="AL57" i="8"/>
  <c r="AL51" i="8"/>
  <c r="AL45" i="8"/>
  <c r="AL39" i="8"/>
  <c r="AL33" i="8"/>
  <c r="AL27" i="8"/>
  <c r="AL21" i="8"/>
  <c r="AL15" i="8"/>
  <c r="AI66" i="8"/>
  <c r="AI69" i="8"/>
  <c r="AI63" i="8"/>
  <c r="AI57" i="8"/>
  <c r="AI51" i="8"/>
  <c r="AI45" i="8"/>
  <c r="AI39" i="8"/>
  <c r="AI33" i="8"/>
  <c r="AI27" i="8"/>
  <c r="AI21" i="8"/>
  <c r="AI15" i="8"/>
  <c r="AF66" i="8"/>
  <c r="AG66" i="8"/>
  <c r="AG67" i="8"/>
  <c r="AG68" i="8"/>
  <c r="AG69" i="8"/>
  <c r="AF69" i="8"/>
  <c r="AG60" i="8"/>
  <c r="AG61" i="8"/>
  <c r="AG62" i="8"/>
  <c r="AG63" i="8"/>
  <c r="AF63" i="8"/>
  <c r="AG54" i="8"/>
  <c r="AG55" i="8"/>
  <c r="AG56" i="8"/>
  <c r="AG57" i="8"/>
  <c r="AF57" i="8"/>
  <c r="AG48" i="8"/>
  <c r="AG49" i="8"/>
  <c r="AG50" i="8"/>
  <c r="AG51" i="8"/>
  <c r="AF51" i="8"/>
  <c r="AG42" i="8"/>
  <c r="AG43" i="8"/>
  <c r="AG44" i="8"/>
  <c r="AG45" i="8"/>
  <c r="AF45" i="8"/>
  <c r="AG36" i="8"/>
  <c r="AG37" i="8"/>
  <c r="AG38" i="8"/>
  <c r="AG39" i="8"/>
  <c r="AF39" i="8"/>
  <c r="AG30" i="8"/>
  <c r="AG31" i="8"/>
  <c r="AG32" i="8"/>
  <c r="AG33" i="8"/>
  <c r="AF33" i="8"/>
  <c r="AG24" i="8"/>
  <c r="AG25" i="8"/>
  <c r="AG26" i="8"/>
  <c r="AG27" i="8"/>
  <c r="AF27" i="8"/>
  <c r="AG18" i="8"/>
  <c r="AG19" i="8"/>
  <c r="AG20" i="8"/>
  <c r="AG21" i="8"/>
  <c r="AF21" i="8"/>
  <c r="AF15" i="8"/>
  <c r="AG15" i="8"/>
  <c r="AG14" i="8"/>
  <c r="AG13" i="8"/>
  <c r="AG12" i="8"/>
  <c r="AC66" i="8"/>
  <c r="AD66" i="8"/>
  <c r="AD67" i="8"/>
  <c r="AD68" i="8"/>
  <c r="AD69" i="8"/>
  <c r="AC69" i="8"/>
  <c r="AD60" i="8"/>
  <c r="AD61" i="8"/>
  <c r="AD62" i="8"/>
  <c r="AD63" i="8"/>
  <c r="AC63" i="8"/>
  <c r="AD54" i="8"/>
  <c r="AD55" i="8"/>
  <c r="AD56" i="8"/>
  <c r="AD57" i="8"/>
  <c r="AC57" i="8"/>
  <c r="AD48" i="8"/>
  <c r="AD49" i="8"/>
  <c r="AD50" i="8"/>
  <c r="AD51" i="8"/>
  <c r="AC51" i="8"/>
  <c r="AD42" i="8"/>
  <c r="AD43" i="8"/>
  <c r="AD44" i="8"/>
  <c r="AD45" i="8"/>
  <c r="AC45" i="8"/>
  <c r="AD36" i="8"/>
  <c r="AD37" i="8"/>
  <c r="AD38" i="8"/>
  <c r="AD39" i="8"/>
  <c r="AC39" i="8"/>
  <c r="AD30" i="8"/>
  <c r="AD31" i="8"/>
  <c r="AD32" i="8"/>
  <c r="AD33" i="8"/>
  <c r="AC33" i="8"/>
  <c r="AD24" i="8"/>
  <c r="AD25" i="8"/>
  <c r="AD26" i="8"/>
  <c r="AD27" i="8"/>
  <c r="AC27" i="8"/>
  <c r="AD18" i="8"/>
  <c r="AD19" i="8"/>
  <c r="AD20" i="8"/>
  <c r="AD21" i="8"/>
  <c r="AC21" i="8"/>
  <c r="AC15" i="8"/>
  <c r="AD15" i="8"/>
  <c r="AD14" i="8"/>
  <c r="AD13" i="8"/>
  <c r="AD12" i="8"/>
  <c r="Z66" i="8"/>
  <c r="AA66" i="8"/>
  <c r="AA67" i="8"/>
  <c r="AA68" i="8"/>
  <c r="AA69" i="8"/>
  <c r="Z69" i="8"/>
  <c r="AA60" i="8"/>
  <c r="AA61" i="8"/>
  <c r="AA62" i="8"/>
  <c r="AA63" i="8"/>
  <c r="Z63" i="8"/>
  <c r="AA54" i="8"/>
  <c r="AA55" i="8"/>
  <c r="AA56" i="8"/>
  <c r="AA57" i="8"/>
  <c r="Z57" i="8"/>
  <c r="AA48" i="8"/>
  <c r="AA49" i="8"/>
  <c r="AA50" i="8"/>
  <c r="AA51" i="8"/>
  <c r="Z51" i="8"/>
  <c r="AA42" i="8"/>
  <c r="AA43" i="8"/>
  <c r="AA44" i="8"/>
  <c r="AA45" i="8"/>
  <c r="Z45" i="8"/>
  <c r="AA36" i="8"/>
  <c r="AA37" i="8"/>
  <c r="AA38" i="8"/>
  <c r="AA39" i="8"/>
  <c r="Z39" i="8"/>
  <c r="AA30" i="8"/>
  <c r="AA31" i="8"/>
  <c r="AA32" i="8"/>
  <c r="AA33" i="8"/>
  <c r="Z33" i="8"/>
  <c r="AA24" i="8"/>
  <c r="AA25" i="8"/>
  <c r="AA26" i="8"/>
  <c r="AA27" i="8"/>
  <c r="Z27" i="8"/>
  <c r="AA18" i="8"/>
  <c r="AA19" i="8"/>
  <c r="AA20" i="8"/>
  <c r="AA21" i="8"/>
  <c r="Z21" i="8"/>
  <c r="Z15" i="8"/>
  <c r="AA15" i="8"/>
  <c r="AA14" i="8"/>
  <c r="AA13" i="8"/>
  <c r="AA12" i="8"/>
  <c r="W66" i="8"/>
  <c r="X66" i="8"/>
  <c r="X67" i="8"/>
  <c r="X68" i="8"/>
  <c r="X69" i="8"/>
  <c r="W69" i="8"/>
  <c r="X60" i="8"/>
  <c r="X61" i="8"/>
  <c r="X62" i="8"/>
  <c r="X63" i="8"/>
  <c r="W63" i="8"/>
  <c r="X54" i="8"/>
  <c r="X55" i="8"/>
  <c r="X56" i="8"/>
  <c r="X57" i="8"/>
  <c r="W57" i="8"/>
  <c r="X48" i="8"/>
  <c r="X49" i="8"/>
  <c r="X50" i="8"/>
  <c r="X51" i="8"/>
  <c r="W51" i="8"/>
  <c r="X42" i="8"/>
  <c r="X43" i="8"/>
  <c r="X44" i="8"/>
  <c r="X45" i="8"/>
  <c r="W45" i="8"/>
  <c r="X36" i="8"/>
  <c r="X37" i="8"/>
  <c r="X38" i="8"/>
  <c r="X39" i="8"/>
  <c r="W39" i="8"/>
  <c r="X30" i="8"/>
  <c r="X31" i="8"/>
  <c r="X32" i="8"/>
  <c r="X33" i="8"/>
  <c r="W33" i="8"/>
  <c r="X24" i="8"/>
  <c r="X25" i="8"/>
  <c r="X26" i="8"/>
  <c r="X27" i="8"/>
  <c r="W27" i="8"/>
  <c r="X18" i="8"/>
  <c r="X19" i="8"/>
  <c r="X20" i="8"/>
  <c r="X21" i="8"/>
  <c r="W21" i="8"/>
  <c r="W15" i="8"/>
  <c r="X15" i="8"/>
  <c r="X14" i="8"/>
  <c r="X13" i="8"/>
  <c r="X12" i="8"/>
  <c r="T66" i="8"/>
  <c r="U66" i="8"/>
  <c r="U67" i="8"/>
  <c r="U68" i="8"/>
  <c r="U69" i="8"/>
  <c r="T69" i="8"/>
  <c r="U60" i="8"/>
  <c r="U61" i="8"/>
  <c r="U62" i="8"/>
  <c r="U63" i="8"/>
  <c r="T63" i="8"/>
  <c r="U54" i="8"/>
  <c r="U55" i="8"/>
  <c r="U56" i="8"/>
  <c r="U57" i="8"/>
  <c r="T57" i="8"/>
  <c r="U48" i="8"/>
  <c r="U49" i="8"/>
  <c r="U50" i="8"/>
  <c r="U51" i="8"/>
  <c r="T51" i="8"/>
  <c r="U42" i="8"/>
  <c r="U43" i="8"/>
  <c r="U44" i="8"/>
  <c r="U45" i="8"/>
  <c r="T45" i="8"/>
  <c r="U36" i="8"/>
  <c r="U37" i="8"/>
  <c r="U38" i="8"/>
  <c r="U39" i="8"/>
  <c r="T39" i="8"/>
  <c r="U30" i="8"/>
  <c r="U31" i="8"/>
  <c r="U32" i="8"/>
  <c r="U33" i="8"/>
  <c r="T33" i="8"/>
  <c r="U24" i="8"/>
  <c r="U25" i="8"/>
  <c r="U26" i="8"/>
  <c r="U27" i="8"/>
  <c r="T27" i="8"/>
  <c r="U18" i="8"/>
  <c r="U19" i="8"/>
  <c r="U20" i="8"/>
  <c r="U21" i="8"/>
  <c r="T21" i="8"/>
  <c r="T15" i="8"/>
  <c r="U15" i="8"/>
  <c r="U14" i="8"/>
  <c r="U13" i="8"/>
  <c r="U12" i="8"/>
  <c r="Q66" i="8"/>
  <c r="Q69" i="8"/>
  <c r="Q63" i="8"/>
  <c r="Q57" i="8"/>
  <c r="Q51" i="8"/>
  <c r="Q45" i="8"/>
  <c r="Q39" i="8"/>
  <c r="Q33" i="8"/>
  <c r="Q27" i="8"/>
  <c r="Q21" i="8"/>
  <c r="Q15" i="8"/>
  <c r="N66" i="8"/>
  <c r="N69" i="8"/>
  <c r="N63" i="8"/>
  <c r="N57" i="8"/>
  <c r="N51" i="8"/>
  <c r="N45" i="8"/>
  <c r="N39" i="8"/>
  <c r="N33" i="8"/>
  <c r="N27" i="8"/>
  <c r="N21" i="8"/>
  <c r="N15" i="8"/>
  <c r="K66" i="8"/>
  <c r="L66" i="8"/>
  <c r="L67" i="8"/>
  <c r="L68" i="8"/>
  <c r="L69" i="8"/>
  <c r="K69" i="8"/>
  <c r="L60" i="8"/>
  <c r="L61" i="8"/>
  <c r="L62" i="8"/>
  <c r="L63" i="8"/>
  <c r="K63" i="8"/>
  <c r="L54" i="8"/>
  <c r="L55" i="8"/>
  <c r="L56" i="8"/>
  <c r="L57" i="8"/>
  <c r="K57" i="8"/>
  <c r="L48" i="8"/>
  <c r="L49" i="8"/>
  <c r="L50" i="8"/>
  <c r="L51" i="8"/>
  <c r="K51" i="8"/>
  <c r="L42" i="8"/>
  <c r="L43" i="8"/>
  <c r="L44" i="8"/>
  <c r="L45" i="8"/>
  <c r="K45" i="8"/>
  <c r="L36" i="8"/>
  <c r="L37" i="8"/>
  <c r="L38" i="8"/>
  <c r="L39" i="8"/>
  <c r="K39" i="8"/>
  <c r="L30" i="8"/>
  <c r="L31" i="8"/>
  <c r="L32" i="8"/>
  <c r="L33" i="8"/>
  <c r="K33" i="8"/>
  <c r="L24" i="8"/>
  <c r="L25" i="8"/>
  <c r="L26" i="8"/>
  <c r="L27" i="8"/>
  <c r="K27" i="8"/>
  <c r="L18" i="8"/>
  <c r="L19" i="8"/>
  <c r="L20" i="8"/>
  <c r="L21" i="8"/>
  <c r="K21" i="8"/>
  <c r="K15" i="8"/>
  <c r="L15" i="8"/>
  <c r="L14" i="8"/>
  <c r="L13" i="8"/>
  <c r="L12" i="8"/>
  <c r="H66" i="8"/>
  <c r="H69" i="8"/>
  <c r="H63" i="8"/>
  <c r="H57" i="8"/>
  <c r="H51" i="8"/>
  <c r="H45" i="8"/>
  <c r="H39" i="8"/>
  <c r="H33" i="8"/>
  <c r="H27" i="8"/>
  <c r="H21" i="8"/>
  <c r="H15" i="8"/>
  <c r="E66" i="8"/>
  <c r="AP66" i="8"/>
  <c r="AP67" i="8"/>
  <c r="AP68" i="8"/>
  <c r="AP69" i="8"/>
  <c r="E63" i="8"/>
  <c r="AP63" i="8"/>
  <c r="AP62" i="8"/>
  <c r="AP61" i="8"/>
  <c r="AP60" i="8"/>
  <c r="E57" i="8"/>
  <c r="AP57" i="8"/>
  <c r="AP56" i="8"/>
  <c r="AP55" i="8"/>
  <c r="AP54" i="8"/>
  <c r="E51" i="8"/>
  <c r="AP51" i="8"/>
  <c r="AP50" i="8"/>
  <c r="AP49" i="8"/>
  <c r="AP48" i="8"/>
  <c r="E45" i="8"/>
  <c r="AP45" i="8"/>
  <c r="AP44" i="8"/>
  <c r="AP43" i="8"/>
  <c r="AP42" i="8"/>
  <c r="E39" i="8"/>
  <c r="AP39" i="8"/>
  <c r="AP38" i="8"/>
  <c r="AP37" i="8"/>
  <c r="AP36" i="8"/>
  <c r="E33" i="8"/>
  <c r="AP33" i="8"/>
  <c r="AP32" i="8"/>
  <c r="AP31" i="8"/>
  <c r="AP30" i="8"/>
  <c r="AP26" i="8"/>
  <c r="AP25" i="8"/>
  <c r="AP24" i="8"/>
  <c r="AP18" i="8"/>
  <c r="AP19" i="8"/>
  <c r="AP20" i="8"/>
  <c r="AP21" i="8"/>
  <c r="AP14" i="8"/>
  <c r="AP13" i="8"/>
  <c r="AP12" i="8"/>
  <c r="B7" i="9"/>
  <c r="AQ6" i="9"/>
  <c r="AM6" i="9"/>
  <c r="AJ6" i="9"/>
  <c r="AG6" i="9"/>
  <c r="AD6" i="9"/>
  <c r="AA6" i="9"/>
  <c r="X6" i="9"/>
  <c r="U6" i="9"/>
  <c r="R6" i="9"/>
  <c r="O6" i="9"/>
  <c r="L6" i="9"/>
  <c r="I6" i="9"/>
  <c r="F6" i="9"/>
  <c r="B7" i="8"/>
  <c r="AQ6" i="8" s="1"/>
  <c r="AJ6" i="8"/>
  <c r="AG6" i="8"/>
  <c r="AD6" i="8"/>
  <c r="AA6" i="8"/>
  <c r="X6" i="8"/>
  <c r="U6" i="8"/>
  <c r="R6" i="8"/>
  <c r="O6" i="8"/>
  <c r="L6" i="8"/>
  <c r="I6" i="8"/>
  <c r="E69" i="8"/>
  <c r="F6" i="8"/>
  <c r="F68" i="8"/>
  <c r="F67" i="8"/>
  <c r="F66" i="8"/>
  <c r="F62" i="8"/>
  <c r="F61" i="8"/>
  <c r="F60" i="8"/>
  <c r="F56" i="8"/>
  <c r="F55" i="8"/>
  <c r="F54" i="8"/>
  <c r="F50" i="8"/>
  <c r="F49" i="8"/>
  <c r="F48" i="8"/>
  <c r="F44" i="8"/>
  <c r="F43" i="8"/>
  <c r="F42" i="8"/>
  <c r="F38" i="8"/>
  <c r="F37" i="8"/>
  <c r="F36" i="8"/>
  <c r="F32" i="8"/>
  <c r="F31" i="8"/>
  <c r="F30" i="8"/>
  <c r="F26" i="8"/>
  <c r="F25" i="8"/>
  <c r="F24" i="8"/>
  <c r="F20" i="8"/>
  <c r="F19" i="8"/>
  <c r="F18" i="8"/>
  <c r="F12" i="8"/>
  <c r="E15" i="8"/>
  <c r="F15" i="8"/>
  <c r="F14" i="8"/>
  <c r="F13" i="8"/>
  <c r="AP9" i="8"/>
  <c r="AL9" i="8"/>
  <c r="AI9" i="8"/>
  <c r="AF9" i="8"/>
  <c r="AC9" i="8"/>
  <c r="Z9" i="8"/>
  <c r="W9" i="8"/>
  <c r="T9" i="8"/>
  <c r="Q9" i="8"/>
  <c r="N9" i="8"/>
  <c r="K9" i="8"/>
  <c r="H9" i="8"/>
  <c r="E9" i="8"/>
  <c r="AP8" i="8"/>
  <c r="AL8" i="8"/>
  <c r="AI8" i="8"/>
  <c r="AF8" i="8"/>
  <c r="AC8" i="8"/>
  <c r="Z8" i="8"/>
  <c r="W8" i="8"/>
  <c r="T8" i="8"/>
  <c r="Q8" i="8"/>
  <c r="N8" i="8"/>
  <c r="K8" i="8"/>
  <c r="H8" i="8"/>
  <c r="E8" i="8"/>
  <c r="F8" i="8"/>
  <c r="I8" i="8"/>
  <c r="L8" i="8"/>
  <c r="O8" i="8"/>
  <c r="R8" i="8"/>
  <c r="U8" i="8"/>
  <c r="X8" i="8"/>
  <c r="AA8" i="8"/>
  <c r="AD8" i="8"/>
  <c r="AG8" i="8"/>
  <c r="AJ8" i="8"/>
  <c r="AM8" i="8"/>
  <c r="AQ8" i="8"/>
  <c r="B9" i="9"/>
  <c r="B6" i="9"/>
  <c r="B6" i="8"/>
  <c r="B4" i="9"/>
  <c r="B3" i="9"/>
  <c r="B2" i="9"/>
  <c r="B4" i="8"/>
  <c r="B3" i="8"/>
  <c r="B2" i="8"/>
  <c r="F36" i="9"/>
  <c r="AL7" i="9"/>
  <c r="AI7" i="9"/>
  <c r="AF7" i="9"/>
  <c r="AC7" i="9"/>
  <c r="Z7" i="9"/>
  <c r="W7" i="9"/>
  <c r="T7" i="9"/>
  <c r="Q7" i="9"/>
  <c r="N7" i="9"/>
  <c r="K7" i="9"/>
  <c r="H7" i="9"/>
  <c r="E7" i="9"/>
  <c r="AP7" i="9"/>
  <c r="AN7" i="9"/>
  <c r="H6" i="9"/>
  <c r="K6" i="9" s="1"/>
  <c r="N6" i="9" s="1"/>
  <c r="Q6" i="9" s="1"/>
  <c r="T6" i="9" s="1"/>
  <c r="W6" i="9" s="1"/>
  <c r="Z6" i="9" s="1"/>
  <c r="AC6" i="9" s="1"/>
  <c r="AF6" i="9" s="1"/>
  <c r="AI6" i="9" s="1"/>
  <c r="AL6" i="9" s="1"/>
  <c r="AP6" i="9" s="1"/>
  <c r="F69" i="8"/>
  <c r="F63" i="8"/>
  <c r="F57" i="8"/>
  <c r="F51" i="8"/>
  <c r="F45" i="8"/>
  <c r="F39" i="8"/>
  <c r="F33" i="8"/>
  <c r="AP27" i="8"/>
  <c r="F27" i="8"/>
  <c r="E27" i="8"/>
  <c r="F21" i="8"/>
  <c r="E21" i="8"/>
  <c r="AP15" i="8"/>
  <c r="B9" i="8"/>
  <c r="AL7" i="8"/>
  <c r="AI7" i="8"/>
  <c r="AF7" i="8"/>
  <c r="AC7" i="8"/>
  <c r="Z7" i="8"/>
  <c r="W7" i="8"/>
  <c r="T7" i="8"/>
  <c r="Q7" i="8"/>
  <c r="N7" i="8"/>
  <c r="K7" i="8"/>
  <c r="H7" i="8"/>
  <c r="E7" i="8"/>
  <c r="AP7" i="8"/>
  <c r="H6" i="8"/>
  <c r="K6" i="8"/>
  <c r="N6" i="8"/>
  <c r="Q6" i="8"/>
  <c r="T6" i="8"/>
  <c r="W6" i="8"/>
  <c r="Z6" i="8"/>
  <c r="AC6" i="8"/>
  <c r="AF6" i="8"/>
  <c r="AI6" i="8"/>
  <c r="AL6" i="8"/>
  <c r="AP6" i="8"/>
  <c r="B10" i="7"/>
  <c r="H12" i="7"/>
  <c r="K12" i="7"/>
  <c r="N12" i="7"/>
  <c r="Q12" i="7"/>
  <c r="T12" i="7"/>
  <c r="W12" i="7"/>
  <c r="Z12" i="7"/>
  <c r="AC12" i="7"/>
  <c r="AF12" i="7"/>
  <c r="AI12" i="7"/>
  <c r="E82" i="1"/>
  <c r="E91" i="1"/>
  <c r="E100" i="1"/>
  <c r="E109" i="1"/>
  <c r="E118" i="1"/>
  <c r="E127" i="1"/>
  <c r="E136" i="1"/>
  <c r="H11" i="7"/>
  <c r="K11" i="7"/>
  <c r="N11" i="7"/>
  <c r="AP9" i="7"/>
  <c r="AL9" i="7"/>
  <c r="AI9" i="7"/>
  <c r="AF9" i="7"/>
  <c r="AC9" i="7"/>
  <c r="Z9" i="7"/>
  <c r="W9" i="7"/>
  <c r="T9" i="7"/>
  <c r="Q9" i="7"/>
  <c r="N9" i="7"/>
  <c r="K9" i="7"/>
  <c r="H9" i="7"/>
  <c r="AO9" i="7"/>
  <c r="AK9" i="7"/>
  <c r="AH9" i="7"/>
  <c r="AE9" i="7"/>
  <c r="AB9" i="7"/>
  <c r="Y9" i="7"/>
  <c r="V9" i="7"/>
  <c r="S9" i="7"/>
  <c r="P9" i="7"/>
  <c r="M9" i="7"/>
  <c r="J9" i="7"/>
  <c r="G9" i="7"/>
  <c r="D9" i="7"/>
  <c r="E9" i="7"/>
  <c r="Q11" i="7"/>
  <c r="T11" i="7"/>
  <c r="W11" i="7"/>
  <c r="Z11" i="7"/>
  <c r="AC11" i="7"/>
  <c r="AF11" i="7"/>
  <c r="AI11" i="7"/>
  <c r="AL11" i="7"/>
  <c r="AL12" i="7"/>
  <c r="H13" i="7"/>
  <c r="K13" i="7"/>
  <c r="N13" i="7"/>
  <c r="Q13" i="7"/>
  <c r="T13" i="7"/>
  <c r="W13" i="7"/>
  <c r="Z13" i="7"/>
  <c r="AC13" i="7"/>
  <c r="AF13" i="7"/>
  <c r="AI13" i="7"/>
  <c r="AL13" i="7"/>
  <c r="AH6" i="7"/>
  <c r="AO8" i="7"/>
  <c r="AK8" i="7"/>
  <c r="AH8" i="7"/>
  <c r="AE8" i="7"/>
  <c r="AB8" i="7"/>
  <c r="Y8" i="7"/>
  <c r="V8" i="7"/>
  <c r="S8" i="7"/>
  <c r="P8" i="7"/>
  <c r="M8" i="7"/>
  <c r="J8" i="7"/>
  <c r="G8" i="7"/>
  <c r="D8" i="7"/>
  <c r="B7" i="7"/>
  <c r="B6" i="7"/>
  <c r="B13" i="7"/>
  <c r="B12" i="7"/>
  <c r="B11" i="7"/>
  <c r="B4" i="7"/>
  <c r="B3" i="7"/>
  <c r="B2" i="7"/>
  <c r="B2" i="15" s="1"/>
  <c r="AO6" i="7"/>
  <c r="G6" i="7"/>
  <c r="J6" i="7"/>
  <c r="M6" i="7"/>
  <c r="P6" i="7"/>
  <c r="S6" i="7"/>
  <c r="V6" i="7"/>
  <c r="Y6" i="7"/>
  <c r="AB6" i="7"/>
  <c r="AE6" i="7"/>
  <c r="AK6" i="7"/>
  <c r="AT106" i="5"/>
  <c r="AH106" i="5"/>
  <c r="V106" i="5"/>
  <c r="J98" i="5"/>
  <c r="J90" i="5"/>
  <c r="J82" i="5"/>
  <c r="J74" i="5"/>
  <c r="J66" i="5"/>
  <c r="J58" i="5"/>
  <c r="J50" i="5"/>
  <c r="J42" i="5"/>
  <c r="J34" i="5"/>
  <c r="J26" i="5"/>
  <c r="J18" i="5"/>
  <c r="J10" i="5"/>
  <c r="B4" i="1"/>
  <c r="B3" i="1"/>
  <c r="B2" i="1"/>
  <c r="AV97" i="5"/>
  <c r="AT97" i="5"/>
  <c r="AV89" i="5"/>
  <c r="AT89" i="5"/>
  <c r="AV81" i="5"/>
  <c r="AT81" i="5"/>
  <c r="AV73" i="5"/>
  <c r="AT73" i="5"/>
  <c r="AV65" i="5"/>
  <c r="AT65" i="5"/>
  <c r="AV57" i="5"/>
  <c r="AT57" i="5"/>
  <c r="AV49" i="5"/>
  <c r="AT49" i="5"/>
  <c r="AV41" i="5"/>
  <c r="AT41" i="5"/>
  <c r="AV33" i="5"/>
  <c r="AT33" i="5"/>
  <c r="AV25" i="5"/>
  <c r="AT25" i="5"/>
  <c r="AV17" i="5"/>
  <c r="AT17" i="5"/>
  <c r="AV9" i="5"/>
  <c r="AT9" i="5"/>
  <c r="AJ97" i="5"/>
  <c r="AH97" i="5"/>
  <c r="AJ89" i="5"/>
  <c r="AH89" i="5"/>
  <c r="AJ81" i="5"/>
  <c r="AH81" i="5"/>
  <c r="AJ73" i="5"/>
  <c r="AH73" i="5"/>
  <c r="AJ65" i="5"/>
  <c r="AH65" i="5"/>
  <c r="AJ57" i="5"/>
  <c r="AH57" i="5"/>
  <c r="AJ49" i="5"/>
  <c r="AH49" i="5"/>
  <c r="AJ41" i="5"/>
  <c r="AH41" i="5"/>
  <c r="AJ33" i="5"/>
  <c r="AH33" i="5"/>
  <c r="AJ25" i="5"/>
  <c r="AH25" i="5"/>
  <c r="AJ17" i="5"/>
  <c r="AH17" i="5"/>
  <c r="AJ9" i="5"/>
  <c r="AH9" i="5"/>
  <c r="X97" i="5"/>
  <c r="V97" i="5"/>
  <c r="X89" i="5"/>
  <c r="V89" i="5"/>
  <c r="X81" i="5"/>
  <c r="V81" i="5"/>
  <c r="X73" i="5"/>
  <c r="V73" i="5"/>
  <c r="X65" i="5"/>
  <c r="V65" i="5"/>
  <c r="X57" i="5"/>
  <c r="V57" i="5"/>
  <c r="X49" i="5"/>
  <c r="V49" i="5"/>
  <c r="X41" i="5"/>
  <c r="V41" i="5"/>
  <c r="X33" i="5"/>
  <c r="V33" i="5"/>
  <c r="X25" i="5"/>
  <c r="V25" i="5"/>
  <c r="S31" i="5"/>
  <c r="S39" i="5"/>
  <c r="S47" i="5"/>
  <c r="S55" i="5"/>
  <c r="S63" i="5"/>
  <c r="S71" i="5"/>
  <c r="S79" i="5"/>
  <c r="S87" i="5"/>
  <c r="S95" i="5"/>
  <c r="Q15" i="5"/>
  <c r="Q23" i="5"/>
  <c r="Q31" i="5"/>
  <c r="Q39" i="5"/>
  <c r="Q47" i="5"/>
  <c r="Q55" i="5"/>
  <c r="Q63" i="5"/>
  <c r="Q71" i="5"/>
  <c r="Q79" i="5"/>
  <c r="Q87" i="5"/>
  <c r="Q95" i="5"/>
  <c r="X17" i="5"/>
  <c r="V17" i="5"/>
  <c r="X9" i="5"/>
  <c r="V9" i="5"/>
  <c r="G15" i="5"/>
  <c r="G23" i="5"/>
  <c r="G31" i="5"/>
  <c r="G39" i="5"/>
  <c r="G47" i="5"/>
  <c r="G55" i="5"/>
  <c r="G63" i="5"/>
  <c r="G71" i="5"/>
  <c r="G79" i="5"/>
  <c r="G87" i="5"/>
  <c r="G95" i="5"/>
  <c r="E15" i="5"/>
  <c r="E23" i="5"/>
  <c r="E31" i="5"/>
  <c r="E39" i="5"/>
  <c r="E47" i="5"/>
  <c r="E55" i="5"/>
  <c r="E63" i="5"/>
  <c r="E71" i="5"/>
  <c r="E79" i="5"/>
  <c r="E87" i="5"/>
  <c r="E95" i="5"/>
  <c r="B4" i="3"/>
  <c r="B3" i="3"/>
  <c r="B2" i="3"/>
  <c r="C391" i="1"/>
  <c r="C390" i="1"/>
  <c r="C389" i="1"/>
  <c r="C388" i="1"/>
  <c r="C387" i="1"/>
  <c r="C386" i="1"/>
  <c r="C385" i="1"/>
  <c r="C382" i="1"/>
  <c r="C381" i="1"/>
  <c r="C380" i="1"/>
  <c r="C379" i="1"/>
  <c r="C378" i="1"/>
  <c r="C377" i="1"/>
  <c r="C376" i="1"/>
  <c r="C373" i="1"/>
  <c r="C372" i="1"/>
  <c r="C371" i="1"/>
  <c r="C370" i="1"/>
  <c r="C369" i="1"/>
  <c r="C368" i="1"/>
  <c r="C367" i="1"/>
  <c r="C364" i="1"/>
  <c r="C363" i="1"/>
  <c r="C362" i="1"/>
  <c r="C361" i="1"/>
  <c r="C360" i="1"/>
  <c r="C359" i="1"/>
  <c r="C358" i="1"/>
  <c r="C355" i="1"/>
  <c r="C354" i="1"/>
  <c r="C353" i="1"/>
  <c r="C352" i="1"/>
  <c r="C351" i="1"/>
  <c r="C350" i="1"/>
  <c r="C349" i="1"/>
  <c r="C346" i="1"/>
  <c r="C345" i="1"/>
  <c r="C344" i="1"/>
  <c r="C343" i="1"/>
  <c r="C342" i="1"/>
  <c r="C341" i="1"/>
  <c r="C340" i="1"/>
  <c r="C337" i="1"/>
  <c r="C336" i="1"/>
  <c r="C335" i="1"/>
  <c r="C334" i="1"/>
  <c r="C333" i="1"/>
  <c r="C332" i="1"/>
  <c r="C331" i="1"/>
  <c r="C327" i="1"/>
  <c r="C326" i="1"/>
  <c r="C325" i="1"/>
  <c r="C324" i="1"/>
  <c r="C323" i="1"/>
  <c r="C322" i="1"/>
  <c r="C321" i="1"/>
  <c r="C318" i="1"/>
  <c r="C317" i="1"/>
  <c r="C316" i="1"/>
  <c r="C315" i="1"/>
  <c r="C314" i="1"/>
  <c r="C313" i="1"/>
  <c r="C312" i="1"/>
  <c r="C309" i="1"/>
  <c r="C308" i="1"/>
  <c r="C307" i="1"/>
  <c r="C306" i="1"/>
  <c r="C305" i="1"/>
  <c r="C304" i="1"/>
  <c r="C303" i="1"/>
  <c r="C300" i="1"/>
  <c r="C299" i="1"/>
  <c r="C298" i="1"/>
  <c r="C297" i="1"/>
  <c r="C296" i="1"/>
  <c r="C295" i="1"/>
  <c r="C294" i="1"/>
  <c r="C291" i="1"/>
  <c r="C290" i="1"/>
  <c r="C289" i="1"/>
  <c r="C288" i="1"/>
  <c r="C287" i="1"/>
  <c r="C286" i="1"/>
  <c r="C285" i="1"/>
  <c r="C282" i="1"/>
  <c r="C281" i="1"/>
  <c r="C280" i="1"/>
  <c r="C279" i="1"/>
  <c r="C278" i="1"/>
  <c r="C277" i="1"/>
  <c r="C276" i="1"/>
  <c r="C273" i="1"/>
  <c r="C272" i="1"/>
  <c r="C271" i="1"/>
  <c r="C270" i="1"/>
  <c r="C269" i="1"/>
  <c r="C268" i="1"/>
  <c r="C267" i="1"/>
  <c r="C263" i="1"/>
  <c r="C262" i="1"/>
  <c r="C261" i="1"/>
  <c r="C260" i="1"/>
  <c r="C259" i="1"/>
  <c r="C258" i="1"/>
  <c r="C257" i="1"/>
  <c r="C254" i="1"/>
  <c r="C253" i="1"/>
  <c r="C252" i="1"/>
  <c r="C251" i="1"/>
  <c r="C250" i="1"/>
  <c r="C249" i="1"/>
  <c r="C248" i="1"/>
  <c r="C245" i="1"/>
  <c r="C244" i="1"/>
  <c r="C243" i="1"/>
  <c r="C242" i="1"/>
  <c r="C241" i="1"/>
  <c r="C240" i="1"/>
  <c r="C239" i="1"/>
  <c r="C236" i="1"/>
  <c r="C235" i="1"/>
  <c r="C234" i="1"/>
  <c r="C233" i="1"/>
  <c r="C232" i="1"/>
  <c r="C231" i="1"/>
  <c r="C230" i="1"/>
  <c r="C227" i="1"/>
  <c r="C226" i="1"/>
  <c r="C225" i="1"/>
  <c r="C224" i="1"/>
  <c r="C223" i="1"/>
  <c r="C222" i="1"/>
  <c r="C221" i="1"/>
  <c r="C218" i="1"/>
  <c r="C217" i="1"/>
  <c r="C216" i="1"/>
  <c r="C215" i="1"/>
  <c r="C214" i="1"/>
  <c r="C213" i="1"/>
  <c r="C212" i="1"/>
  <c r="C209" i="1"/>
  <c r="C208" i="1"/>
  <c r="C207" i="1"/>
  <c r="C206" i="1"/>
  <c r="C205" i="1"/>
  <c r="C204" i="1"/>
  <c r="C203" i="1"/>
  <c r="C199" i="1"/>
  <c r="C198" i="1"/>
  <c r="C197" i="1"/>
  <c r="C196" i="1"/>
  <c r="C195" i="1"/>
  <c r="C194" i="1"/>
  <c r="C193" i="1"/>
  <c r="C190" i="1"/>
  <c r="C189" i="1"/>
  <c r="C188" i="1"/>
  <c r="C187" i="1"/>
  <c r="C186" i="1"/>
  <c r="C185" i="1"/>
  <c r="C184" i="1"/>
  <c r="C181" i="1"/>
  <c r="C180" i="1"/>
  <c r="C179" i="1"/>
  <c r="C178" i="1"/>
  <c r="C177" i="1"/>
  <c r="C176" i="1"/>
  <c r="C175" i="1"/>
  <c r="C172" i="1"/>
  <c r="C171" i="1"/>
  <c r="C170" i="1"/>
  <c r="C169" i="1"/>
  <c r="C168" i="1"/>
  <c r="C167" i="1"/>
  <c r="C166" i="1"/>
  <c r="C163" i="1"/>
  <c r="C162" i="1"/>
  <c r="C161" i="1"/>
  <c r="C160" i="1"/>
  <c r="C159" i="1"/>
  <c r="C158" i="1"/>
  <c r="C157" i="1"/>
  <c r="C154" i="1"/>
  <c r="C153" i="1"/>
  <c r="C152" i="1"/>
  <c r="C151" i="1"/>
  <c r="C150" i="1"/>
  <c r="C149" i="1"/>
  <c r="C148" i="1"/>
  <c r="C145" i="1"/>
  <c r="C144" i="1"/>
  <c r="C143" i="1"/>
  <c r="C142" i="1"/>
  <c r="C141" i="1"/>
  <c r="C140" i="1"/>
  <c r="C139" i="1"/>
  <c r="C135" i="1"/>
  <c r="C134" i="1"/>
  <c r="C133" i="1"/>
  <c r="C132" i="1"/>
  <c r="C131" i="1"/>
  <c r="C130" i="1"/>
  <c r="C129" i="1"/>
  <c r="C126" i="1"/>
  <c r="C125" i="1"/>
  <c r="C124" i="1"/>
  <c r="C123" i="1"/>
  <c r="C122" i="1"/>
  <c r="C121" i="1"/>
  <c r="C120" i="1"/>
  <c r="C117" i="1"/>
  <c r="C116" i="1"/>
  <c r="C115" i="1"/>
  <c r="C114" i="1"/>
  <c r="C113" i="1"/>
  <c r="C112" i="1"/>
  <c r="C111" i="1"/>
  <c r="C108" i="1"/>
  <c r="C107" i="1"/>
  <c r="C106" i="1"/>
  <c r="C105" i="1"/>
  <c r="C104" i="1"/>
  <c r="C103" i="1"/>
  <c r="C102" i="1"/>
  <c r="C99" i="1"/>
  <c r="C98" i="1"/>
  <c r="C97" i="1"/>
  <c r="C96" i="1"/>
  <c r="C95" i="1"/>
  <c r="C94" i="1"/>
  <c r="C93" i="1"/>
  <c r="C90" i="1"/>
  <c r="C89" i="1"/>
  <c r="C88" i="1"/>
  <c r="C87" i="1"/>
  <c r="C86" i="1"/>
  <c r="C85" i="1"/>
  <c r="C84" i="1"/>
  <c r="C81" i="1"/>
  <c r="C80" i="1"/>
  <c r="C79" i="1"/>
  <c r="C78" i="1"/>
  <c r="C77" i="1"/>
  <c r="C76" i="1"/>
  <c r="C75" i="1"/>
  <c r="C71" i="1"/>
  <c r="C70" i="1"/>
  <c r="C69" i="1"/>
  <c r="C68" i="1"/>
  <c r="C67" i="1"/>
  <c r="C66" i="1"/>
  <c r="C65" i="1"/>
  <c r="C62" i="1"/>
  <c r="C61" i="1"/>
  <c r="C60" i="1"/>
  <c r="C59" i="1"/>
  <c r="C58" i="1"/>
  <c r="C57" i="1"/>
  <c r="C56" i="1"/>
  <c r="C53" i="1"/>
  <c r="C52" i="1"/>
  <c r="C51" i="1"/>
  <c r="C50" i="1"/>
  <c r="C49" i="1"/>
  <c r="C48" i="1"/>
  <c r="C47" i="1"/>
  <c r="C44" i="1"/>
  <c r="C43" i="1"/>
  <c r="C42" i="1"/>
  <c r="C41" i="1"/>
  <c r="C40" i="1"/>
  <c r="C39" i="1"/>
  <c r="C38" i="1"/>
  <c r="C35" i="1"/>
  <c r="C34" i="1"/>
  <c r="C33" i="1"/>
  <c r="C32" i="1"/>
  <c r="C31" i="1"/>
  <c r="C30" i="1"/>
  <c r="C29" i="1"/>
  <c r="C26" i="1"/>
  <c r="C25" i="1"/>
  <c r="C24" i="1"/>
  <c r="C23" i="1"/>
  <c r="C22" i="1"/>
  <c r="C21" i="1"/>
  <c r="C20" i="1"/>
  <c r="L97" i="5"/>
  <c r="J97" i="5"/>
  <c r="L89" i="5"/>
  <c r="J89" i="5"/>
  <c r="L81" i="5"/>
  <c r="J81" i="5"/>
  <c r="L73" i="5"/>
  <c r="J73" i="5"/>
  <c r="L65" i="5"/>
  <c r="J65" i="5"/>
  <c r="L57" i="5"/>
  <c r="J57" i="5"/>
  <c r="L49" i="5"/>
  <c r="J49" i="5"/>
  <c r="L41" i="5"/>
  <c r="J41" i="5"/>
  <c r="L33" i="5"/>
  <c r="J33" i="5"/>
  <c r="L25" i="5"/>
  <c r="J25" i="5"/>
  <c r="L17" i="5"/>
  <c r="J17" i="5"/>
  <c r="AL9" i="6"/>
  <c r="AI9" i="6"/>
  <c r="AF9" i="6"/>
  <c r="AC9" i="6"/>
  <c r="Z9" i="6"/>
  <c r="W9" i="6"/>
  <c r="T9" i="6"/>
  <c r="Q9" i="6"/>
  <c r="N9" i="6"/>
  <c r="K9" i="6"/>
  <c r="H9" i="6"/>
  <c r="E9" i="6"/>
  <c r="AL8" i="6"/>
  <c r="AI8" i="6"/>
  <c r="AF8" i="6"/>
  <c r="AC8" i="6"/>
  <c r="Z8" i="6"/>
  <c r="W8" i="6"/>
  <c r="T8" i="6"/>
  <c r="Q8" i="6"/>
  <c r="N8" i="6"/>
  <c r="K8" i="6"/>
  <c r="H8" i="6"/>
  <c r="E8" i="6"/>
  <c r="L27" i="1"/>
  <c r="M34" i="6"/>
  <c r="J34" i="6"/>
  <c r="AP33" i="6"/>
  <c r="AP31" i="6"/>
  <c r="AP30" i="6"/>
  <c r="AY22" i="6"/>
  <c r="AY23" i="6"/>
  <c r="AZ21" i="6"/>
  <c r="AZ20" i="6"/>
  <c r="AZ19" i="6"/>
  <c r="AZ18" i="6"/>
  <c r="AZ17" i="6"/>
  <c r="AZ16" i="6"/>
  <c r="AZ15" i="6"/>
  <c r="AZ14" i="6"/>
  <c r="AZ13" i="6"/>
  <c r="AZ12" i="6"/>
  <c r="AZ11" i="6"/>
  <c r="AZ10" i="6"/>
  <c r="AZ22" i="6"/>
  <c r="AS9" i="6"/>
  <c r="L9" i="6"/>
  <c r="O9" i="6"/>
  <c r="R9" i="6"/>
  <c r="U9" i="6"/>
  <c r="X9" i="6"/>
  <c r="AA9" i="6"/>
  <c r="AD9" i="6"/>
  <c r="AG9" i="6"/>
  <c r="AJ9" i="6"/>
  <c r="AM9" i="6"/>
  <c r="AQ9" i="6"/>
  <c r="I9" i="6"/>
  <c r="AS8" i="6"/>
  <c r="I8" i="6"/>
  <c r="L8" i="6"/>
  <c r="O8" i="6"/>
  <c r="R8" i="6"/>
  <c r="U8" i="6"/>
  <c r="X8" i="6"/>
  <c r="AA8" i="6"/>
  <c r="AD8" i="6"/>
  <c r="AG8" i="6"/>
  <c r="AJ8" i="6"/>
  <c r="AM8" i="6"/>
  <c r="AQ8" i="6"/>
  <c r="AT8" i="6"/>
  <c r="AT7" i="6"/>
  <c r="H6" i="6"/>
  <c r="K6" i="6"/>
  <c r="N6" i="6"/>
  <c r="Q6" i="6"/>
  <c r="T6" i="6"/>
  <c r="W6" i="6"/>
  <c r="Z6" i="6"/>
  <c r="AC6" i="6"/>
  <c r="AF6" i="6"/>
  <c r="AI6" i="6"/>
  <c r="AL6" i="6"/>
  <c r="AP6" i="6"/>
  <c r="AS6" i="6"/>
  <c r="J9" i="5"/>
  <c r="L9" i="5"/>
  <c r="O55" i="1"/>
  <c r="O46" i="1"/>
  <c r="O37" i="1"/>
  <c r="O28" i="1"/>
  <c r="N55" i="1"/>
  <c r="N46" i="1"/>
  <c r="N37" i="1"/>
  <c r="N28" i="1"/>
  <c r="N19" i="1"/>
  <c r="N10" i="1"/>
  <c r="M55" i="1"/>
  <c r="M46" i="1"/>
  <c r="L55" i="1"/>
  <c r="L46" i="1"/>
  <c r="L37" i="1"/>
  <c r="L28" i="1"/>
  <c r="K339" i="1"/>
  <c r="K330" i="1"/>
  <c r="K320" i="1"/>
  <c r="K311" i="1"/>
  <c r="K302" i="1"/>
  <c r="J55" i="1"/>
  <c r="J46" i="1"/>
  <c r="J37" i="1"/>
  <c r="I55" i="1"/>
  <c r="I46" i="1"/>
  <c r="I37" i="1"/>
  <c r="I28" i="1"/>
  <c r="I19" i="1"/>
  <c r="H330" i="1"/>
  <c r="H320" i="1"/>
  <c r="H311" i="1"/>
  <c r="H302" i="1"/>
  <c r="H293" i="1"/>
  <c r="H55" i="1"/>
  <c r="G147" i="1"/>
  <c r="G64" i="1"/>
  <c r="G55" i="1"/>
  <c r="G46" i="1"/>
  <c r="G37" i="1"/>
  <c r="F55" i="1"/>
  <c r="F46" i="1"/>
  <c r="F37" i="1"/>
  <c r="F28" i="1"/>
  <c r="F19" i="1"/>
  <c r="F10" i="1"/>
  <c r="E356" i="1"/>
  <c r="E64" i="1"/>
  <c r="E55" i="1"/>
  <c r="E46" i="1"/>
  <c r="E37" i="1"/>
  <c r="E28" i="1"/>
  <c r="E19" i="1"/>
  <c r="E10" i="1"/>
  <c r="D55" i="1"/>
  <c r="D46" i="1"/>
  <c r="E383" i="1"/>
  <c r="E374" i="1"/>
  <c r="E347" i="1"/>
  <c r="E338" i="1"/>
  <c r="D7" i="2"/>
  <c r="E7" i="2"/>
  <c r="F7" i="2"/>
  <c r="G7" i="2"/>
  <c r="H7" i="2"/>
  <c r="I7" i="2"/>
  <c r="J7" i="2"/>
  <c r="K7" i="2"/>
  <c r="L7" i="2"/>
  <c r="M7" i="2"/>
  <c r="N7" i="2"/>
  <c r="O7" i="2"/>
  <c r="P7" i="2"/>
  <c r="O17" i="2"/>
  <c r="O16" i="2"/>
  <c r="O15" i="2"/>
  <c r="O14" i="2"/>
  <c r="O13" i="2"/>
  <c r="O12" i="2"/>
  <c r="P12" i="2" s="1"/>
  <c r="O11" i="2"/>
  <c r="N17" i="2"/>
  <c r="N16" i="2"/>
  <c r="N15" i="2"/>
  <c r="N14" i="2"/>
  <c r="N13" i="2"/>
  <c r="N12" i="2"/>
  <c r="N11" i="2"/>
  <c r="M17" i="2"/>
  <c r="M16" i="2"/>
  <c r="M15" i="2"/>
  <c r="M14" i="2"/>
  <c r="M13" i="2"/>
  <c r="M12" i="2"/>
  <c r="M11" i="2"/>
  <c r="L17" i="2"/>
  <c r="L16" i="2"/>
  <c r="L15" i="2"/>
  <c r="L14" i="2"/>
  <c r="L13" i="2"/>
  <c r="L12" i="2"/>
  <c r="L11" i="2"/>
  <c r="K17" i="2"/>
  <c r="K16" i="2"/>
  <c r="K15" i="2"/>
  <c r="K14" i="2"/>
  <c r="K13" i="2"/>
  <c r="K12" i="2"/>
  <c r="K11" i="2"/>
  <c r="J17" i="2"/>
  <c r="J16" i="2"/>
  <c r="J15" i="2"/>
  <c r="J14" i="2"/>
  <c r="J13" i="2"/>
  <c r="J12" i="2"/>
  <c r="J11" i="2"/>
  <c r="I17" i="2"/>
  <c r="I16" i="2"/>
  <c r="I15" i="2"/>
  <c r="I14" i="2"/>
  <c r="I13" i="2"/>
  <c r="I12" i="2"/>
  <c r="I11" i="2"/>
  <c r="H17" i="2"/>
  <c r="H16" i="2"/>
  <c r="H15" i="2"/>
  <c r="H14" i="2"/>
  <c r="H13" i="2"/>
  <c r="H12" i="2"/>
  <c r="H11" i="2"/>
  <c r="G17" i="2"/>
  <c r="G16" i="2"/>
  <c r="G15" i="2"/>
  <c r="G14" i="2"/>
  <c r="G13" i="2"/>
  <c r="G12" i="2"/>
  <c r="G11" i="2"/>
  <c r="F17" i="2"/>
  <c r="F16" i="2"/>
  <c r="F15" i="2"/>
  <c r="F14" i="2"/>
  <c r="F13" i="2"/>
  <c r="F12" i="2"/>
  <c r="F11" i="2"/>
  <c r="E17" i="2"/>
  <c r="E16" i="2"/>
  <c r="E15" i="2"/>
  <c r="E14" i="2"/>
  <c r="E13" i="2"/>
  <c r="E12" i="2"/>
  <c r="E11" i="2"/>
  <c r="D13" i="2"/>
  <c r="D14" i="2"/>
  <c r="D15" i="2"/>
  <c r="D16" i="2"/>
  <c r="D17" i="2"/>
  <c r="D12" i="2"/>
  <c r="D11" i="2"/>
  <c r="N237" i="1"/>
  <c r="M338" i="1"/>
  <c r="M347" i="1"/>
  <c r="B4" i="2"/>
  <c r="B3" i="2"/>
  <c r="B2" i="2"/>
  <c r="H18" i="1"/>
  <c r="B330" i="1"/>
  <c r="B266" i="1"/>
  <c r="B202" i="1"/>
  <c r="B138" i="1"/>
  <c r="B74" i="1"/>
  <c r="B10" i="1"/>
  <c r="O8" i="1"/>
  <c r="O8" i="2"/>
  <c r="O9" i="2"/>
  <c r="N8" i="1"/>
  <c r="N8" i="2"/>
  <c r="N9" i="2"/>
  <c r="M8" i="1"/>
  <c r="M8" i="2"/>
  <c r="M9" i="2"/>
  <c r="L8" i="1"/>
  <c r="L8" i="2"/>
  <c r="L9" i="2"/>
  <c r="K8" i="1"/>
  <c r="K8" i="2"/>
  <c r="K9" i="2"/>
  <c r="J8" i="1"/>
  <c r="J8" i="2"/>
  <c r="J9" i="2"/>
  <c r="I8" i="1"/>
  <c r="I8" i="2"/>
  <c r="I9" i="2"/>
  <c r="H8" i="1"/>
  <c r="H8" i="2"/>
  <c r="H9" i="2"/>
  <c r="G8" i="1"/>
  <c r="G8" i="2"/>
  <c r="G9" i="2"/>
  <c r="F8" i="1"/>
  <c r="F8" i="2"/>
  <c r="F9" i="2"/>
  <c r="E8" i="1"/>
  <c r="E8" i="2"/>
  <c r="E9" i="2"/>
  <c r="D8" i="1"/>
  <c r="D8" i="2"/>
  <c r="D7" i="1"/>
  <c r="B8" i="1"/>
  <c r="B7" i="1"/>
  <c r="B7" i="2"/>
  <c r="O6" i="1"/>
  <c r="O6" i="2"/>
  <c r="N6" i="1"/>
  <c r="N6" i="2"/>
  <c r="M6" i="1"/>
  <c r="M6" i="2"/>
  <c r="L6" i="1"/>
  <c r="L6" i="2"/>
  <c r="K6" i="1"/>
  <c r="K6" i="2"/>
  <c r="J6" i="1"/>
  <c r="J6" i="2"/>
  <c r="I6" i="1"/>
  <c r="I6" i="2"/>
  <c r="H6" i="1"/>
  <c r="H6" i="2"/>
  <c r="G6" i="1"/>
  <c r="G6" i="2"/>
  <c r="F6" i="1"/>
  <c r="F6" i="2"/>
  <c r="E6" i="1"/>
  <c r="E6" i="2"/>
  <c r="D6" i="1"/>
  <c r="D6" i="2"/>
  <c r="O5" i="1"/>
  <c r="O5" i="2"/>
  <c r="N5" i="1"/>
  <c r="N5" i="2"/>
  <c r="M5" i="1"/>
  <c r="M5" i="2"/>
  <c r="L5" i="1"/>
  <c r="L5" i="2"/>
  <c r="K5" i="1"/>
  <c r="K5" i="2"/>
  <c r="J5" i="1"/>
  <c r="J5" i="2"/>
  <c r="I5" i="1"/>
  <c r="I5" i="2"/>
  <c r="H5" i="1"/>
  <c r="H5" i="2"/>
  <c r="G5" i="1"/>
  <c r="G5" i="2"/>
  <c r="F5" i="1"/>
  <c r="F5" i="2"/>
  <c r="E5" i="1"/>
  <c r="E5" i="2"/>
  <c r="D5" i="1"/>
  <c r="D5" i="2"/>
  <c r="C64" i="1"/>
  <c r="C55" i="1"/>
  <c r="C46" i="1"/>
  <c r="C37" i="1"/>
  <c r="C28" i="1"/>
  <c r="C19" i="1"/>
  <c r="C10" i="1"/>
  <c r="G319" i="1"/>
  <c r="F310" i="1"/>
  <c r="O302" i="1"/>
  <c r="O293" i="1"/>
  <c r="O284" i="1"/>
  <c r="O275" i="1"/>
  <c r="O266" i="1"/>
  <c r="O256" i="1"/>
  <c r="O247" i="1"/>
  <c r="O238" i="1"/>
  <c r="O229" i="1"/>
  <c r="O220" i="1"/>
  <c r="O211" i="1"/>
  <c r="O202" i="1"/>
  <c r="O192" i="1"/>
  <c r="O183" i="1"/>
  <c r="O174" i="1"/>
  <c r="O165" i="1"/>
  <c r="O156" i="1"/>
  <c r="O147" i="1"/>
  <c r="O138" i="1"/>
  <c r="O128" i="1"/>
  <c r="O119" i="1"/>
  <c r="O110" i="1"/>
  <c r="O101" i="1"/>
  <c r="O92" i="1"/>
  <c r="O83" i="1"/>
  <c r="O74" i="1"/>
  <c r="O64" i="1"/>
  <c r="N275" i="1"/>
  <c r="N266" i="1"/>
  <c r="N256" i="1"/>
  <c r="N247" i="1"/>
  <c r="N238" i="1"/>
  <c r="N229" i="1"/>
  <c r="N220" i="1"/>
  <c r="N211" i="1"/>
  <c r="N202" i="1"/>
  <c r="N192" i="1"/>
  <c r="N183" i="1"/>
  <c r="N174" i="1"/>
  <c r="N165" i="1"/>
  <c r="N156" i="1"/>
  <c r="N147" i="1"/>
  <c r="N138" i="1"/>
  <c r="N128" i="1"/>
  <c r="N119" i="1"/>
  <c r="N110" i="1"/>
  <c r="N101" i="1"/>
  <c r="N92" i="1"/>
  <c r="N83" i="1"/>
  <c r="N74" i="1"/>
  <c r="N64" i="1"/>
  <c r="M320" i="1"/>
  <c r="M311" i="1"/>
  <c r="M302" i="1"/>
  <c r="M293" i="1"/>
  <c r="M284" i="1"/>
  <c r="M275" i="1"/>
  <c r="M266" i="1"/>
  <c r="M256" i="1"/>
  <c r="M247" i="1"/>
  <c r="M238" i="1"/>
  <c r="M229" i="1"/>
  <c r="M220" i="1"/>
  <c r="M211" i="1"/>
  <c r="M202" i="1"/>
  <c r="M192" i="1"/>
  <c r="M183" i="1"/>
  <c r="M174" i="1"/>
  <c r="M165" i="1"/>
  <c r="M156" i="1"/>
  <c r="M147" i="1"/>
  <c r="M138" i="1"/>
  <c r="M128" i="1"/>
  <c r="M119" i="1"/>
  <c r="M110" i="1"/>
  <c r="M101" i="1"/>
  <c r="M92" i="1"/>
  <c r="M83" i="1"/>
  <c r="M74" i="1"/>
  <c r="M64" i="1"/>
  <c r="L293" i="1"/>
  <c r="L284" i="1"/>
  <c r="L275" i="1"/>
  <c r="L266" i="1"/>
  <c r="L256" i="1"/>
  <c r="L247" i="1"/>
  <c r="L238" i="1"/>
  <c r="L229" i="1"/>
  <c r="L220" i="1"/>
  <c r="L211" i="1"/>
  <c r="L202" i="1"/>
  <c r="L192" i="1"/>
  <c r="L183" i="1"/>
  <c r="L174" i="1"/>
  <c r="L165" i="1"/>
  <c r="L156" i="1"/>
  <c r="L147" i="1"/>
  <c r="L138" i="1"/>
  <c r="L128" i="1"/>
  <c r="L119" i="1"/>
  <c r="L110" i="1"/>
  <c r="L101" i="1"/>
  <c r="L92" i="1"/>
  <c r="L83" i="1"/>
  <c r="L74" i="1"/>
  <c r="L64" i="1"/>
  <c r="K293" i="1"/>
  <c r="K284" i="1"/>
  <c r="K275" i="1"/>
  <c r="K266" i="1"/>
  <c r="K256" i="1"/>
  <c r="K247" i="1"/>
  <c r="K238" i="1"/>
  <c r="K229" i="1"/>
  <c r="K220" i="1"/>
  <c r="K211" i="1"/>
  <c r="K202" i="1"/>
  <c r="K192" i="1"/>
  <c r="K183" i="1"/>
  <c r="K174" i="1"/>
  <c r="K165" i="1"/>
  <c r="K156" i="1"/>
  <c r="K147" i="1"/>
  <c r="K138" i="1"/>
  <c r="K128" i="1"/>
  <c r="K119" i="1"/>
  <c r="K110" i="1"/>
  <c r="K101" i="1"/>
  <c r="K92" i="1"/>
  <c r="K83" i="1"/>
  <c r="K74" i="1"/>
  <c r="K64" i="1"/>
  <c r="J311" i="1"/>
  <c r="J302" i="1"/>
  <c r="J293" i="1"/>
  <c r="J284" i="1"/>
  <c r="J275" i="1"/>
  <c r="J266" i="1"/>
  <c r="J256" i="1"/>
  <c r="J247" i="1"/>
  <c r="J238" i="1"/>
  <c r="J229" i="1"/>
  <c r="J220" i="1"/>
  <c r="J211" i="1"/>
  <c r="J202" i="1"/>
  <c r="J192" i="1"/>
  <c r="J183" i="1"/>
  <c r="J174" i="1"/>
  <c r="J165" i="1"/>
  <c r="J156" i="1"/>
  <c r="J147" i="1"/>
  <c r="J138" i="1"/>
  <c r="J128" i="1"/>
  <c r="J119" i="1"/>
  <c r="J110" i="1"/>
  <c r="J101" i="1"/>
  <c r="J92" i="1"/>
  <c r="J83" i="1"/>
  <c r="J74" i="1"/>
  <c r="J64" i="1"/>
  <c r="I284" i="1"/>
  <c r="I275" i="1"/>
  <c r="I266" i="1"/>
  <c r="I256" i="1"/>
  <c r="I247" i="1"/>
  <c r="I238" i="1"/>
  <c r="I229" i="1"/>
  <c r="I220" i="1"/>
  <c r="I211" i="1"/>
  <c r="I202" i="1"/>
  <c r="I192" i="1"/>
  <c r="I183" i="1"/>
  <c r="I174" i="1"/>
  <c r="I165" i="1"/>
  <c r="I156" i="1"/>
  <c r="I147" i="1"/>
  <c r="I138" i="1"/>
  <c r="I128" i="1"/>
  <c r="I119" i="1"/>
  <c r="I110" i="1"/>
  <c r="I101" i="1"/>
  <c r="I92" i="1"/>
  <c r="I83" i="1"/>
  <c r="I74" i="1"/>
  <c r="I64" i="1"/>
  <c r="H284" i="1"/>
  <c r="H275" i="1"/>
  <c r="H266" i="1"/>
  <c r="H256" i="1"/>
  <c r="H247" i="1"/>
  <c r="H238" i="1"/>
  <c r="H229" i="1"/>
  <c r="H220" i="1"/>
  <c r="H211" i="1"/>
  <c r="H202" i="1"/>
  <c r="H192" i="1"/>
  <c r="H183" i="1"/>
  <c r="H174" i="1"/>
  <c r="H165" i="1"/>
  <c r="H156" i="1"/>
  <c r="H147" i="1"/>
  <c r="H138" i="1"/>
  <c r="H128" i="1"/>
  <c r="H119" i="1"/>
  <c r="H110" i="1"/>
  <c r="H101" i="1"/>
  <c r="H92" i="1"/>
  <c r="H83" i="1"/>
  <c r="H74" i="1"/>
  <c r="H64" i="1"/>
  <c r="G302" i="1"/>
  <c r="G293" i="1"/>
  <c r="G284" i="1"/>
  <c r="G275" i="1"/>
  <c r="G266" i="1"/>
  <c r="G256" i="1"/>
  <c r="G247" i="1"/>
  <c r="G238" i="1"/>
  <c r="G229" i="1"/>
  <c r="G220" i="1"/>
  <c r="G211" i="1"/>
  <c r="G202" i="1"/>
  <c r="G192" i="1"/>
  <c r="G183" i="1"/>
  <c r="G174" i="1"/>
  <c r="G165" i="1"/>
  <c r="G156" i="1"/>
  <c r="G138" i="1"/>
  <c r="G128" i="1"/>
  <c r="G119" i="1"/>
  <c r="G110" i="1"/>
  <c r="G101" i="1"/>
  <c r="G92" i="1"/>
  <c r="G83" i="1"/>
  <c r="G74" i="1"/>
  <c r="F284" i="1"/>
  <c r="F275" i="1"/>
  <c r="F266" i="1"/>
  <c r="F256" i="1"/>
  <c r="F247" i="1"/>
  <c r="F238" i="1"/>
  <c r="F229" i="1"/>
  <c r="F220" i="1"/>
  <c r="F211" i="1"/>
  <c r="F202" i="1"/>
  <c r="F192" i="1"/>
  <c r="F183" i="1"/>
  <c r="F174" i="1"/>
  <c r="F165" i="1"/>
  <c r="F156" i="1"/>
  <c r="F147" i="1"/>
  <c r="F138" i="1"/>
  <c r="F128" i="1"/>
  <c r="F119" i="1"/>
  <c r="F110" i="1"/>
  <c r="F101" i="1"/>
  <c r="F92" i="1"/>
  <c r="F83" i="1"/>
  <c r="F74" i="1"/>
  <c r="F64" i="1"/>
  <c r="E266" i="1"/>
  <c r="E256" i="1"/>
  <c r="E247" i="1"/>
  <c r="E238" i="1"/>
  <c r="E229" i="1"/>
  <c r="E220" i="1"/>
  <c r="E211" i="1"/>
  <c r="E202" i="1"/>
  <c r="E192" i="1"/>
  <c r="E183" i="1"/>
  <c r="E174" i="1"/>
  <c r="E165" i="1"/>
  <c r="E156" i="1"/>
  <c r="E147" i="1"/>
  <c r="E138" i="1"/>
  <c r="E128" i="1"/>
  <c r="E119" i="1"/>
  <c r="E110" i="1"/>
  <c r="E101" i="1"/>
  <c r="E92" i="1"/>
  <c r="E83" i="1"/>
  <c r="E74" i="1"/>
  <c r="D320" i="1"/>
  <c r="D311" i="1"/>
  <c r="D302" i="1"/>
  <c r="D293" i="1"/>
  <c r="D284" i="1"/>
  <c r="D275" i="1"/>
  <c r="D266" i="1"/>
  <c r="D256" i="1"/>
  <c r="D247" i="1"/>
  <c r="D238" i="1"/>
  <c r="D229" i="1"/>
  <c r="D220" i="1"/>
  <c r="D211" i="1"/>
  <c r="D202" i="1"/>
  <c r="D192" i="1"/>
  <c r="D183" i="1"/>
  <c r="D174" i="1"/>
  <c r="D165" i="1"/>
  <c r="D156" i="1"/>
  <c r="D147" i="1"/>
  <c r="D138" i="1"/>
  <c r="D128" i="1"/>
  <c r="D119" i="1"/>
  <c r="D110" i="1"/>
  <c r="D101" i="1"/>
  <c r="D92" i="1"/>
  <c r="D83" i="1"/>
  <c r="D74" i="1"/>
  <c r="D64" i="1"/>
  <c r="C22" i="3"/>
  <c r="C128" i="1"/>
  <c r="C21" i="3"/>
  <c r="C119" i="1"/>
  <c r="C20" i="3"/>
  <c r="C110" i="1"/>
  <c r="C19" i="3"/>
  <c r="C101" i="1"/>
  <c r="C18" i="3"/>
  <c r="C92" i="1"/>
  <c r="C25" i="3"/>
  <c r="C156" i="1"/>
  <c r="C17" i="3"/>
  <c r="C24" i="3"/>
  <c r="C16" i="3"/>
  <c r="C74" i="1"/>
  <c r="E7" i="3"/>
  <c r="F7" i="3"/>
  <c r="G7" i="3"/>
  <c r="H7" i="3"/>
  <c r="I7" i="3"/>
  <c r="J7" i="3"/>
  <c r="K7" i="3"/>
  <c r="L7" i="3"/>
  <c r="M7" i="3"/>
  <c r="N7" i="3"/>
  <c r="O7" i="3"/>
  <c r="E7" i="1"/>
  <c r="F7" i="1"/>
  <c r="G7" i="1"/>
  <c r="H7" i="1"/>
  <c r="I7" i="1"/>
  <c r="J7" i="1"/>
  <c r="K7" i="1"/>
  <c r="L7" i="1"/>
  <c r="M7" i="1"/>
  <c r="N7" i="1"/>
  <c r="O7" i="1"/>
  <c r="O18" i="1"/>
  <c r="O27" i="1"/>
  <c r="O36" i="1"/>
  <c r="O45" i="1"/>
  <c r="O54" i="1"/>
  <c r="O63" i="1"/>
  <c r="O72" i="1"/>
  <c r="O82" i="1"/>
  <c r="O91" i="1"/>
  <c r="O100" i="1"/>
  <c r="O109" i="1"/>
  <c r="O118" i="1"/>
  <c r="O127" i="1"/>
  <c r="O136" i="1"/>
  <c r="O146" i="1"/>
  <c r="O164" i="1"/>
  <c r="O173" i="1"/>
  <c r="O182" i="1"/>
  <c r="O191" i="1"/>
  <c r="O200" i="1"/>
  <c r="O210" i="1"/>
  <c r="O219" i="1"/>
  <c r="O228" i="1"/>
  <c r="O237" i="1"/>
  <c r="O246" i="1"/>
  <c r="O255" i="1"/>
  <c r="O264" i="1"/>
  <c r="O274" i="1"/>
  <c r="O283" i="1"/>
  <c r="O292" i="1"/>
  <c r="O301" i="1"/>
  <c r="O310" i="1"/>
  <c r="O319" i="1"/>
  <c r="O328" i="1"/>
  <c r="O338" i="1"/>
  <c r="O347" i="1"/>
  <c r="O356" i="1"/>
  <c r="O365" i="1"/>
  <c r="O374" i="1"/>
  <c r="O383" i="1"/>
  <c r="O392" i="1"/>
  <c r="N18" i="1"/>
  <c r="N27" i="1"/>
  <c r="N36" i="1"/>
  <c r="N45" i="1"/>
  <c r="N54" i="1"/>
  <c r="N63" i="1"/>
  <c r="N72" i="1"/>
  <c r="N82" i="1"/>
  <c r="N91" i="1"/>
  <c r="N100" i="1"/>
  <c r="N109" i="1"/>
  <c r="N118" i="1"/>
  <c r="N127" i="1"/>
  <c r="N136" i="1"/>
  <c r="N146" i="1"/>
  <c r="N155" i="1"/>
  <c r="N164" i="1"/>
  <c r="N173" i="1"/>
  <c r="N182" i="1"/>
  <c r="N191" i="1"/>
  <c r="N200" i="1"/>
  <c r="N210" i="1"/>
  <c r="N219" i="1"/>
  <c r="N228" i="1"/>
  <c r="N246" i="1"/>
  <c r="N255" i="1"/>
  <c r="N264" i="1"/>
  <c r="N274" i="1"/>
  <c r="N283" i="1"/>
  <c r="N292" i="1"/>
  <c r="N301" i="1"/>
  <c r="N310" i="1"/>
  <c r="N319" i="1"/>
  <c r="N328" i="1"/>
  <c r="N338" i="1"/>
  <c r="N347" i="1"/>
  <c r="N356" i="1"/>
  <c r="N365" i="1"/>
  <c r="N374" i="1"/>
  <c r="N383" i="1"/>
  <c r="N392" i="1"/>
  <c r="M18" i="1"/>
  <c r="M27" i="1"/>
  <c r="M36" i="1"/>
  <c r="M45" i="1"/>
  <c r="M356" i="1"/>
  <c r="M365" i="1"/>
  <c r="M374" i="1"/>
  <c r="M383" i="1"/>
  <c r="M392" i="1"/>
  <c r="L18" i="1"/>
  <c r="L310" i="1"/>
  <c r="L319" i="1"/>
  <c r="L328" i="1"/>
  <c r="L338" i="1"/>
  <c r="L347" i="1"/>
  <c r="L356" i="1"/>
  <c r="L365" i="1"/>
  <c r="L374" i="1"/>
  <c r="L383" i="1"/>
  <c r="L392" i="1"/>
  <c r="K18" i="1"/>
  <c r="K27" i="1"/>
  <c r="K36" i="1"/>
  <c r="K45" i="1"/>
  <c r="K54" i="1"/>
  <c r="K63" i="1"/>
  <c r="K356" i="1"/>
  <c r="K365" i="1"/>
  <c r="K374" i="1"/>
  <c r="K383" i="1"/>
  <c r="K392" i="1"/>
  <c r="J18" i="1"/>
  <c r="J27" i="1"/>
  <c r="J36" i="1"/>
  <c r="J328" i="1"/>
  <c r="J338" i="1"/>
  <c r="J347" i="1"/>
  <c r="J356" i="1"/>
  <c r="J365" i="1"/>
  <c r="J374" i="1"/>
  <c r="J383" i="1"/>
  <c r="J392" i="1"/>
  <c r="I18" i="1"/>
  <c r="I301" i="1"/>
  <c r="I310" i="1"/>
  <c r="I319" i="1"/>
  <c r="I328" i="1"/>
  <c r="I338" i="1"/>
  <c r="I347" i="1"/>
  <c r="I356" i="1"/>
  <c r="I365" i="1"/>
  <c r="I374" i="1"/>
  <c r="I383" i="1"/>
  <c r="I392" i="1"/>
  <c r="H27" i="1"/>
  <c r="H36" i="1"/>
  <c r="H45" i="1"/>
  <c r="H54" i="1"/>
  <c r="H63" i="1"/>
  <c r="H72" i="1"/>
  <c r="H82" i="1"/>
  <c r="H91" i="1"/>
  <c r="H100" i="1"/>
  <c r="H109" i="1"/>
  <c r="H118" i="1"/>
  <c r="H127" i="1"/>
  <c r="H136" i="1"/>
  <c r="H146" i="1"/>
  <c r="H155" i="1"/>
  <c r="H164" i="1"/>
  <c r="H173" i="1"/>
  <c r="H182" i="1"/>
  <c r="H191" i="1"/>
  <c r="H200" i="1"/>
  <c r="H210" i="1"/>
  <c r="H219" i="1"/>
  <c r="H228" i="1"/>
  <c r="H237" i="1"/>
  <c r="H246" i="1"/>
  <c r="H255" i="1"/>
  <c r="H264" i="1"/>
  <c r="H274" i="1"/>
  <c r="H283" i="1"/>
  <c r="H292" i="1"/>
  <c r="H301" i="1"/>
  <c r="H310" i="1"/>
  <c r="H319" i="1"/>
  <c r="H328" i="1"/>
  <c r="H338" i="1"/>
  <c r="H347" i="1"/>
  <c r="H356" i="1"/>
  <c r="H365" i="1"/>
  <c r="H374" i="1"/>
  <c r="H383" i="1"/>
  <c r="H392" i="1"/>
  <c r="G18" i="1"/>
  <c r="G27" i="1"/>
  <c r="G36" i="1"/>
  <c r="G45" i="1"/>
  <c r="G54" i="1"/>
  <c r="G63" i="1"/>
  <c r="G72" i="1"/>
  <c r="G82" i="1"/>
  <c r="G91" i="1"/>
  <c r="G100" i="1"/>
  <c r="G109" i="1"/>
  <c r="G118" i="1"/>
  <c r="G127" i="1"/>
  <c r="G136" i="1"/>
  <c r="G146" i="1"/>
  <c r="G155" i="1"/>
  <c r="G164" i="1"/>
  <c r="G173" i="1"/>
  <c r="G182" i="1"/>
  <c r="G191" i="1"/>
  <c r="G200" i="1"/>
  <c r="G210" i="1"/>
  <c r="G219" i="1"/>
  <c r="G228" i="1"/>
  <c r="G237" i="1"/>
  <c r="G246" i="1"/>
  <c r="G255" i="1"/>
  <c r="G264" i="1"/>
  <c r="G274" i="1"/>
  <c r="G283" i="1"/>
  <c r="G292" i="1"/>
  <c r="G301" i="1"/>
  <c r="G310" i="1"/>
  <c r="G328" i="1"/>
  <c r="G338" i="1"/>
  <c r="G347" i="1"/>
  <c r="G356" i="1"/>
  <c r="G365" i="1"/>
  <c r="G374" i="1"/>
  <c r="G383" i="1"/>
  <c r="G392" i="1"/>
  <c r="F301" i="1"/>
  <c r="F319" i="1"/>
  <c r="F328" i="1"/>
  <c r="F338" i="1"/>
  <c r="F347" i="1"/>
  <c r="F356" i="1"/>
  <c r="F365" i="1"/>
  <c r="F374" i="1"/>
  <c r="F383" i="1"/>
  <c r="F392" i="1"/>
  <c r="E18" i="1"/>
  <c r="E27" i="1"/>
  <c r="E36" i="1"/>
  <c r="E45" i="1"/>
  <c r="E54" i="1"/>
  <c r="E63" i="1"/>
  <c r="E72" i="1"/>
  <c r="E146" i="1"/>
  <c r="E155" i="1"/>
  <c r="E164" i="1"/>
  <c r="E173" i="1"/>
  <c r="E182" i="1"/>
  <c r="E191" i="1"/>
  <c r="E200" i="1"/>
  <c r="E210" i="1"/>
  <c r="E219" i="1"/>
  <c r="E228" i="1"/>
  <c r="E237" i="1"/>
  <c r="E246" i="1"/>
  <c r="E255" i="1"/>
  <c r="E264" i="1"/>
  <c r="E274" i="1"/>
  <c r="E283" i="1"/>
  <c r="E292" i="1"/>
  <c r="E301" i="1"/>
  <c r="E310" i="1"/>
  <c r="E319" i="1"/>
  <c r="E328" i="1"/>
  <c r="E365" i="1"/>
  <c r="D18" i="1"/>
  <c r="D27" i="1"/>
  <c r="D36" i="1"/>
  <c r="D45" i="1"/>
  <c r="D338" i="1"/>
  <c r="D347" i="1"/>
  <c r="D356" i="1"/>
  <c r="D365" i="1"/>
  <c r="D374" i="1"/>
  <c r="D383" i="1"/>
  <c r="D392" i="1"/>
  <c r="C36" i="1"/>
  <c r="C45" i="1"/>
  <c r="C54" i="1"/>
  <c r="C63" i="1"/>
  <c r="C72" i="1"/>
  <c r="C82" i="1"/>
  <c r="C27" i="1"/>
  <c r="K18" i="2"/>
  <c r="I18" i="2"/>
  <c r="M18" i="2"/>
  <c r="F18" i="2"/>
  <c r="L18" i="2"/>
  <c r="J396" i="1"/>
  <c r="J18" i="2"/>
  <c r="F396" i="1"/>
  <c r="L396" i="1"/>
  <c r="P11" i="2"/>
  <c r="P17" i="2"/>
  <c r="D396" i="1"/>
  <c r="D18" i="2"/>
  <c r="C83" i="1"/>
  <c r="C147" i="1"/>
  <c r="C31" i="3"/>
  <c r="C100" i="1"/>
  <c r="C109" i="1"/>
  <c r="C118" i="1"/>
  <c r="C127" i="1"/>
  <c r="C136" i="1"/>
  <c r="C146" i="1"/>
  <c r="C91" i="1"/>
  <c r="D9" i="2"/>
  <c r="P9" i="2"/>
  <c r="P8" i="2"/>
  <c r="C26" i="3"/>
  <c r="C23" i="3"/>
  <c r="C27" i="3"/>
  <c r="C29" i="3"/>
  <c r="C32" i="3"/>
  <c r="C28" i="3"/>
  <c r="I23" i="2"/>
  <c r="I396" i="1"/>
  <c r="I21" i="2"/>
  <c r="K396" i="1"/>
  <c r="M396" i="1"/>
  <c r="C183" i="1"/>
  <c r="C35" i="3"/>
  <c r="C174" i="1"/>
  <c r="C34" i="3"/>
  <c r="K23" i="2"/>
  <c r="K21" i="2"/>
  <c r="C165" i="1"/>
  <c r="C33" i="3"/>
  <c r="C155" i="1"/>
  <c r="C164" i="1"/>
  <c r="C173" i="1"/>
  <c r="C182" i="1"/>
  <c r="C191" i="1"/>
  <c r="C200" i="1"/>
  <c r="C210" i="1"/>
  <c r="C192" i="1"/>
  <c r="C36" i="3"/>
  <c r="C220" i="1"/>
  <c r="C39" i="3"/>
  <c r="C138" i="1"/>
  <c r="C30" i="3"/>
  <c r="M23" i="2"/>
  <c r="M21" i="2"/>
  <c r="C211" i="1"/>
  <c r="C38" i="3"/>
  <c r="L21" i="2"/>
  <c r="J21" i="2"/>
  <c r="F21" i="2"/>
  <c r="L23" i="2"/>
  <c r="J23" i="2"/>
  <c r="F23" i="2"/>
  <c r="D21" i="2"/>
  <c r="D23" i="2"/>
  <c r="C247" i="1"/>
  <c r="C42" i="3"/>
  <c r="C275" i="1"/>
  <c r="C45" i="3"/>
  <c r="C339" i="1"/>
  <c r="C228" i="1"/>
  <c r="C237" i="1"/>
  <c r="C246" i="1"/>
  <c r="C255" i="1"/>
  <c r="C264" i="1"/>
  <c r="C274" i="1"/>
  <c r="C219" i="1"/>
  <c r="C284" i="1"/>
  <c r="C46" i="3"/>
  <c r="C348" i="1"/>
  <c r="C238" i="1"/>
  <c r="C41" i="3"/>
  <c r="C202" i="1"/>
  <c r="C37" i="3"/>
  <c r="C43" i="3"/>
  <c r="C256" i="1"/>
  <c r="C229" i="1"/>
  <c r="C40" i="3"/>
  <c r="C50" i="3"/>
  <c r="C384" i="1"/>
  <c r="C320" i="1"/>
  <c r="C293" i="1"/>
  <c r="C47" i="3"/>
  <c r="C357" i="1"/>
  <c r="C266" i="1"/>
  <c r="C44" i="3"/>
  <c r="C330" i="1"/>
  <c r="C311" i="1"/>
  <c r="C49" i="3"/>
  <c r="C375" i="1"/>
  <c r="C302" i="1"/>
  <c r="C48" i="3"/>
  <c r="C366" i="1"/>
  <c r="C292" i="1"/>
  <c r="C301" i="1"/>
  <c r="C310" i="1"/>
  <c r="C319" i="1"/>
  <c r="C328" i="1"/>
  <c r="C338" i="1"/>
  <c r="C283" i="1"/>
  <c r="C356" i="1"/>
  <c r="C365" i="1"/>
  <c r="C374" i="1"/>
  <c r="C383" i="1"/>
  <c r="C392" i="1"/>
  <c r="C347" i="1"/>
  <c r="AG6" i="6"/>
  <c r="L82" i="5"/>
  <c r="AA6" i="6"/>
  <c r="L66" i="5"/>
  <c r="F6" i="6"/>
  <c r="L10" i="5"/>
  <c r="U6" i="6"/>
  <c r="L50" i="5"/>
  <c r="AD6" i="6"/>
  <c r="L74" i="5"/>
  <c r="L6" i="6"/>
  <c r="L26" i="5"/>
  <c r="F30" i="6"/>
  <c r="F31" i="6"/>
  <c r="F33" i="6"/>
  <c r="X6" i="6"/>
  <c r="L58" i="5"/>
  <c r="F19" i="6"/>
  <c r="F20" i="6"/>
  <c r="L31" i="6"/>
  <c r="L33" i="6"/>
  <c r="L29" i="6"/>
  <c r="L30" i="6"/>
  <c r="L19" i="6"/>
  <c r="L20" i="6"/>
  <c r="U30" i="6"/>
  <c r="U31" i="6"/>
  <c r="U33" i="6"/>
  <c r="U29" i="6"/>
  <c r="U32" i="6"/>
  <c r="U20" i="6"/>
  <c r="U19" i="6"/>
  <c r="X31" i="6"/>
  <c r="X30" i="6"/>
  <c r="X32" i="6"/>
  <c r="X33" i="6"/>
  <c r="X29" i="6"/>
  <c r="X20" i="6"/>
  <c r="X19" i="6"/>
  <c r="AA29" i="6"/>
  <c r="AA31" i="6"/>
  <c r="AA32" i="6"/>
  <c r="AA30" i="6"/>
  <c r="AA33" i="6"/>
  <c r="AA19" i="6"/>
  <c r="AA20" i="6"/>
  <c r="AD32" i="6"/>
  <c r="AD31" i="6"/>
  <c r="AD29" i="6"/>
  <c r="AD30" i="6"/>
  <c r="AD33" i="6"/>
  <c r="AD19" i="6"/>
  <c r="AD20" i="6"/>
  <c r="AG33" i="6"/>
  <c r="AG32" i="6"/>
  <c r="AG29" i="6"/>
  <c r="AG30" i="6"/>
  <c r="AG31" i="6"/>
  <c r="AG19" i="6"/>
  <c r="AG20" i="6"/>
  <c r="AP21" i="6"/>
  <c r="AP19" i="6"/>
  <c r="AP20" i="6"/>
  <c r="J106" i="5"/>
  <c r="AS16" i="6"/>
  <c r="AT23" i="6"/>
  <c r="AS14" i="6"/>
  <c r="AS21" i="6"/>
  <c r="AS19" i="6"/>
  <c r="AS20" i="6"/>
  <c r="AT20" i="6"/>
  <c r="AT33" i="6"/>
  <c r="AT32" i="6"/>
  <c r="AT31" i="6"/>
  <c r="AT29" i="6"/>
  <c r="AT6" i="6"/>
  <c r="AT27" i="6"/>
  <c r="AT30" i="6"/>
  <c r="AT19" i="6"/>
  <c r="AT28" i="6"/>
  <c r="AT14" i="6"/>
  <c r="AS23" i="6"/>
  <c r="AS25" i="6"/>
  <c r="AS36" i="6"/>
  <c r="AS41" i="6"/>
  <c r="AS43" i="6"/>
  <c r="AS45" i="6"/>
  <c r="AT45" i="6"/>
  <c r="AT41" i="6"/>
  <c r="AT43" i="6"/>
  <c r="AT36" i="6"/>
  <c r="AT25" i="6"/>
  <c r="AL38" i="6" l="1"/>
  <c r="AJ6" i="17"/>
  <c r="AF38" i="6"/>
  <c r="AC38" i="6"/>
  <c r="W38" i="6"/>
  <c r="T38" i="6"/>
  <c r="Q38" i="6"/>
  <c r="K38" i="6"/>
  <c r="H38" i="6"/>
  <c r="E38" i="6"/>
  <c r="AM6" i="17"/>
  <c r="AG6" i="17"/>
  <c r="AD6" i="17"/>
  <c r="AA6" i="17"/>
  <c r="X24" i="17"/>
  <c r="U6" i="17"/>
  <c r="R6" i="17"/>
  <c r="O6" i="17"/>
  <c r="L6" i="17"/>
  <c r="I6" i="17"/>
  <c r="AP24" i="17"/>
  <c r="AT7" i="17" s="1"/>
  <c r="BA7" i="17" s="1"/>
  <c r="F6" i="17"/>
  <c r="AQ14" i="17"/>
  <c r="AP31" i="16"/>
  <c r="AQ6" i="16" s="1"/>
  <c r="AT7" i="16"/>
  <c r="BA7" i="16" s="1"/>
  <c r="O29" i="15"/>
  <c r="O6" i="15"/>
  <c r="L29" i="15"/>
  <c r="L6" i="15"/>
  <c r="I29" i="15"/>
  <c r="H32" i="6"/>
  <c r="E32" i="6"/>
  <c r="AP29" i="15"/>
  <c r="AL7" i="15" s="1"/>
  <c r="B2" i="14"/>
  <c r="B2" i="13"/>
  <c r="B2" i="12"/>
  <c r="F6" i="14"/>
  <c r="K7" i="14"/>
  <c r="AJ34" i="11"/>
  <c r="X34" i="11"/>
  <c r="L34" i="11"/>
  <c r="AP34" i="11"/>
  <c r="AT7" i="11" s="1"/>
  <c r="BA7" i="11" s="1"/>
  <c r="AP28" i="6"/>
  <c r="F28" i="6"/>
  <c r="AQ13" i="11"/>
  <c r="AQ34" i="11" s="1"/>
  <c r="F14" i="12"/>
  <c r="F16" i="12"/>
  <c r="E29" i="6"/>
  <c r="F6" i="12"/>
  <c r="F13" i="12"/>
  <c r="F18" i="12"/>
  <c r="F20" i="12"/>
  <c r="F15" i="12"/>
  <c r="F24" i="12" s="1"/>
  <c r="F19" i="12"/>
  <c r="AT7" i="13"/>
  <c r="BA7" i="13" s="1"/>
  <c r="AM6" i="8"/>
  <c r="AG6" i="10"/>
  <c r="AM13" i="12"/>
  <c r="AM6" i="12"/>
  <c r="AM15" i="12"/>
  <c r="AG6" i="12"/>
  <c r="AD17" i="12"/>
  <c r="AD21" i="12"/>
  <c r="AD18" i="12"/>
  <c r="AD22" i="12"/>
  <c r="AD13" i="12"/>
  <c r="AA6" i="12"/>
  <c r="AA13" i="12"/>
  <c r="AA15" i="12"/>
  <c r="X17" i="12"/>
  <c r="X24" i="12" s="1"/>
  <c r="R18" i="12"/>
  <c r="R21" i="12"/>
  <c r="R14" i="12"/>
  <c r="R24" i="12" s="1"/>
  <c r="O6" i="12"/>
  <c r="O13" i="12"/>
  <c r="O15" i="12"/>
  <c r="L24" i="12"/>
  <c r="I6" i="12"/>
  <c r="F22" i="12"/>
  <c r="F17" i="12"/>
  <c r="I16" i="12"/>
  <c r="U16" i="12"/>
  <c r="AG16" i="12"/>
  <c r="O17" i="12"/>
  <c r="AA17" i="12"/>
  <c r="AM17" i="12"/>
  <c r="I18" i="12"/>
  <c r="U18" i="12"/>
  <c r="AG18" i="12"/>
  <c r="O19" i="12"/>
  <c r="AA19" i="12"/>
  <c r="AM19" i="12"/>
  <c r="I20" i="12"/>
  <c r="U20" i="12"/>
  <c r="AG20" i="12"/>
  <c r="O21" i="12"/>
  <c r="AA21" i="12"/>
  <c r="AM21" i="12"/>
  <c r="I22" i="12"/>
  <c r="U22" i="12"/>
  <c r="AG22" i="12"/>
  <c r="AP24" i="12"/>
  <c r="I13" i="12"/>
  <c r="U13" i="12"/>
  <c r="AG13" i="12"/>
  <c r="O14" i="12"/>
  <c r="AA14" i="12"/>
  <c r="AM14" i="12"/>
  <c r="I15" i="12"/>
  <c r="U15" i="12"/>
  <c r="AG15" i="12"/>
  <c r="O16" i="12"/>
  <c r="AA16" i="12"/>
  <c r="AM16" i="12"/>
  <c r="I17" i="12"/>
  <c r="U17" i="12"/>
  <c r="AG17" i="12"/>
  <c r="O18" i="12"/>
  <c r="AA18" i="12"/>
  <c r="AM18" i="12"/>
  <c r="I19" i="12"/>
  <c r="U19" i="12"/>
  <c r="AG19" i="12"/>
  <c r="O20" i="12"/>
  <c r="AA20" i="12"/>
  <c r="AM20" i="12"/>
  <c r="U6" i="11"/>
  <c r="R6" i="11"/>
  <c r="F6" i="11"/>
  <c r="AM6" i="11"/>
  <c r="AJ6" i="11"/>
  <c r="AG6" i="11"/>
  <c r="AD6" i="11"/>
  <c r="AA6" i="11"/>
  <c r="X6" i="11"/>
  <c r="O6" i="11"/>
  <c r="L6" i="11"/>
  <c r="I6" i="11"/>
  <c r="O395" i="1"/>
  <c r="O19" i="2" s="1"/>
  <c r="O21" i="2" s="1"/>
  <c r="O18" i="2"/>
  <c r="N18" i="2"/>
  <c r="N395" i="1"/>
  <c r="N396" i="1" s="1"/>
  <c r="H18" i="2"/>
  <c r="H395" i="1"/>
  <c r="H19" i="2" s="1"/>
  <c r="H21" i="2" s="1"/>
  <c r="G18" i="2"/>
  <c r="G395" i="1"/>
  <c r="G396" i="1" s="1"/>
  <c r="P16" i="2"/>
  <c r="P15" i="2"/>
  <c r="P13" i="2"/>
  <c r="E18" i="2"/>
  <c r="P14" i="2"/>
  <c r="E395" i="1"/>
  <c r="K34" i="6"/>
  <c r="L34" i="6" s="1"/>
  <c r="L27" i="6"/>
  <c r="AF27" i="6"/>
  <c r="AD27" i="6"/>
  <c r="AC34" i="6"/>
  <c r="Z34" i="6"/>
  <c r="AA27" i="6"/>
  <c r="T34" i="6"/>
  <c r="U27" i="6"/>
  <c r="F27" i="6"/>
  <c r="AG14" i="10"/>
  <c r="AD14" i="10"/>
  <c r="AA14" i="10"/>
  <c r="AA26" i="10" s="1"/>
  <c r="W26" i="10"/>
  <c r="W27" i="6" s="1"/>
  <c r="U14" i="10"/>
  <c r="L14" i="10"/>
  <c r="AD6" i="10"/>
  <c r="AA6" i="10"/>
  <c r="X6" i="10"/>
  <c r="U6" i="10"/>
  <c r="L6" i="10"/>
  <c r="F6" i="10"/>
  <c r="B9" i="10"/>
  <c r="Q7" i="17" l="1"/>
  <c r="AL7" i="17"/>
  <c r="AI7" i="17"/>
  <c r="AQ24" i="17"/>
  <c r="AP7" i="17"/>
  <c r="K7" i="17"/>
  <c r="AQ6" i="17"/>
  <c r="Z7" i="17"/>
  <c r="AF7" i="17"/>
  <c r="W7" i="17"/>
  <c r="T7" i="17"/>
  <c r="N7" i="17"/>
  <c r="AC7" i="17"/>
  <c r="B9" i="17"/>
  <c r="E7" i="17"/>
  <c r="H7" i="17"/>
  <c r="AL7" i="16"/>
  <c r="Z7" i="16"/>
  <c r="N7" i="16"/>
  <c r="AI7" i="16"/>
  <c r="W7" i="16"/>
  <c r="K7" i="16"/>
  <c r="B9" i="16"/>
  <c r="AF7" i="16"/>
  <c r="T7" i="16"/>
  <c r="H7" i="16"/>
  <c r="AP7" i="16"/>
  <c r="AC7" i="16"/>
  <c r="Q7" i="16"/>
  <c r="E7" i="16"/>
  <c r="AP32" i="6"/>
  <c r="E34" i="6"/>
  <c r="F34" i="6" s="1"/>
  <c r="F32" i="6"/>
  <c r="AI7" i="15"/>
  <c r="AT7" i="15"/>
  <c r="BA7" i="15" s="1"/>
  <c r="AQ6" i="15"/>
  <c r="AP7" i="15"/>
  <c r="B9" i="15"/>
  <c r="E7" i="15"/>
  <c r="K7" i="15"/>
  <c r="Q7" i="15"/>
  <c r="H7" i="15"/>
  <c r="F29" i="15"/>
  <c r="N7" i="15"/>
  <c r="T7" i="15"/>
  <c r="W7" i="15"/>
  <c r="Z7" i="15"/>
  <c r="AC7" i="15"/>
  <c r="AF7" i="15"/>
  <c r="T7" i="14"/>
  <c r="Z7" i="14"/>
  <c r="W7" i="14"/>
  <c r="E7" i="14"/>
  <c r="AF7" i="14"/>
  <c r="AP7" i="14"/>
  <c r="N7" i="14"/>
  <c r="AQ6" i="14"/>
  <c r="AT7" i="14"/>
  <c r="BA7" i="14" s="1"/>
  <c r="H7" i="14"/>
  <c r="Q7" i="14"/>
  <c r="AI7" i="14"/>
  <c r="AL7" i="14"/>
  <c r="AC7" i="14"/>
  <c r="B9" i="14"/>
  <c r="O23" i="14"/>
  <c r="U23" i="14"/>
  <c r="I23" i="14"/>
  <c r="AM23" i="14"/>
  <c r="AA23" i="14"/>
  <c r="AG23" i="14"/>
  <c r="AQ6" i="11"/>
  <c r="AP29" i="6"/>
  <c r="F29" i="6"/>
  <c r="AQ17" i="12"/>
  <c r="AT7" i="12"/>
  <c r="BA7" i="12" s="1"/>
  <c r="B9" i="13"/>
  <c r="N7" i="13"/>
  <c r="AL7" i="13"/>
  <c r="E7" i="13"/>
  <c r="K7" i="13"/>
  <c r="Q7" i="13"/>
  <c r="H7" i="13"/>
  <c r="AI7" i="13"/>
  <c r="AC7" i="13"/>
  <c r="T7" i="13"/>
  <c r="F25" i="13"/>
  <c r="AF7" i="13"/>
  <c r="W7" i="13"/>
  <c r="Z7" i="13"/>
  <c r="AP7" i="13"/>
  <c r="AM24" i="12"/>
  <c r="AD24" i="12"/>
  <c r="AA24" i="12"/>
  <c r="U24" i="12"/>
  <c r="O24" i="12"/>
  <c r="N7" i="12"/>
  <c r="AQ13" i="12"/>
  <c r="AQ18" i="12"/>
  <c r="AQ21" i="12"/>
  <c r="I24" i="12"/>
  <c r="AQ19" i="12"/>
  <c r="AQ20" i="12"/>
  <c r="AQ6" i="12"/>
  <c r="AI7" i="12"/>
  <c r="W7" i="12"/>
  <c r="K7" i="12"/>
  <c r="B9" i="12"/>
  <c r="AF7" i="12"/>
  <c r="T7" i="12"/>
  <c r="H7" i="12"/>
  <c r="AP7" i="12"/>
  <c r="AC7" i="12"/>
  <c r="Q7" i="12"/>
  <c r="E7" i="12"/>
  <c r="AL7" i="12"/>
  <c r="AG24" i="12"/>
  <c r="Z7" i="12"/>
  <c r="AQ22" i="12"/>
  <c r="AQ15" i="12"/>
  <c r="AQ16" i="12"/>
  <c r="AQ14" i="12"/>
  <c r="AL7" i="11"/>
  <c r="Z7" i="11"/>
  <c r="N7" i="11"/>
  <c r="AI7" i="11"/>
  <c r="W7" i="11"/>
  <c r="K7" i="11"/>
  <c r="B9" i="11"/>
  <c r="AF7" i="11"/>
  <c r="T7" i="11"/>
  <c r="H7" i="11"/>
  <c r="AP7" i="11"/>
  <c r="AC7" i="11"/>
  <c r="Q7" i="11"/>
  <c r="E7" i="11"/>
  <c r="O23" i="2"/>
  <c r="G98" i="5"/>
  <c r="S98" i="5" s="1"/>
  <c r="O396" i="1"/>
  <c r="N19" i="2"/>
  <c r="N21" i="2" s="1"/>
  <c r="H396" i="1"/>
  <c r="H23" i="2"/>
  <c r="G42" i="5"/>
  <c r="S42" i="5" s="1"/>
  <c r="G19" i="2"/>
  <c r="G34" i="5" s="1"/>
  <c r="P18" i="2"/>
  <c r="E19" i="2"/>
  <c r="E396" i="1"/>
  <c r="P395" i="1"/>
  <c r="AG27" i="6"/>
  <c r="AF34" i="6"/>
  <c r="AD34" i="6"/>
  <c r="AA34" i="6"/>
  <c r="X27" i="6"/>
  <c r="W34" i="6"/>
  <c r="U34" i="6"/>
  <c r="AG26" i="10"/>
  <c r="AD26" i="10"/>
  <c r="X26" i="10"/>
  <c r="U26" i="10"/>
  <c r="L26" i="10"/>
  <c r="F26" i="10"/>
  <c r="AQ29" i="15" l="1"/>
  <c r="AQ25" i="13"/>
  <c r="AQ24" i="12"/>
  <c r="BC98" i="5"/>
  <c r="BO98" i="5"/>
  <c r="AE98" i="5"/>
  <c r="Q98" i="5"/>
  <c r="G90" i="5"/>
  <c r="S90" i="5" s="1"/>
  <c r="N23" i="2"/>
  <c r="BC42" i="5"/>
  <c r="AE42" i="5"/>
  <c r="Q42" i="5"/>
  <c r="BO42" i="5"/>
  <c r="G23" i="2"/>
  <c r="G21" i="2"/>
  <c r="S34" i="5"/>
  <c r="BC34" i="5"/>
  <c r="G18" i="5"/>
  <c r="E23" i="2"/>
  <c r="P19" i="2"/>
  <c r="E21" i="2"/>
  <c r="AG34" i="6"/>
  <c r="X34" i="6"/>
  <c r="AQ98" i="5" l="1"/>
  <c r="AO98" i="5" s="1"/>
  <c r="AC98" i="5"/>
  <c r="BO90" i="5"/>
  <c r="BC90" i="5"/>
  <c r="Q90" i="5"/>
  <c r="AE90" i="5"/>
  <c r="AC42" i="5"/>
  <c r="AQ42" i="5"/>
  <c r="AO42" i="5" s="1"/>
  <c r="AE34" i="5"/>
  <c r="Q34" i="5"/>
  <c r="BO34" i="5"/>
  <c r="J10" i="2"/>
  <c r="D10" i="2"/>
  <c r="I10" i="2"/>
  <c r="F10" i="2"/>
  <c r="M10" i="2"/>
  <c r="L10" i="2"/>
  <c r="P21" i="2"/>
  <c r="G10" i="2"/>
  <c r="N10" i="2"/>
  <c r="O10" i="2"/>
  <c r="P23" i="2"/>
  <c r="K10" i="2"/>
  <c r="H10" i="2"/>
  <c r="E10" i="2"/>
  <c r="S18" i="5"/>
  <c r="G106" i="5"/>
  <c r="BC18" i="5"/>
  <c r="E98" i="5" l="1"/>
  <c r="AL14" i="6" s="1"/>
  <c r="AQ90" i="5"/>
  <c r="AO90" i="5" s="1"/>
  <c r="AC90" i="5"/>
  <c r="E42" i="5"/>
  <c r="Q14" i="6" s="1"/>
  <c r="AQ34" i="5"/>
  <c r="AO34" i="5" s="1"/>
  <c r="AC34" i="5"/>
  <c r="G114" i="5"/>
  <c r="AV7" i="9"/>
  <c r="BA7" i="9" s="1"/>
  <c r="AV7" i="8"/>
  <c r="BA7" i="8" s="1"/>
  <c r="BC106" i="5"/>
  <c r="BE7" i="6"/>
  <c r="AV7" i="7"/>
  <c r="BO18" i="5"/>
  <c r="S106" i="5"/>
  <c r="Q18" i="5"/>
  <c r="Q106" i="5" s="1"/>
  <c r="AE18" i="5"/>
  <c r="P10" i="2"/>
  <c r="L98" i="5" l="1"/>
  <c r="AM23" i="10"/>
  <c r="AM19" i="10"/>
  <c r="AM15" i="10"/>
  <c r="AM21" i="6"/>
  <c r="AM38" i="9"/>
  <c r="AM62" i="8"/>
  <c r="AM55" i="8"/>
  <c r="AM48" i="8"/>
  <c r="AM38" i="8"/>
  <c r="AM31" i="8"/>
  <c r="AM24" i="8"/>
  <c r="AM14" i="8"/>
  <c r="AM6" i="6"/>
  <c r="AM32" i="6"/>
  <c r="AM31" i="6"/>
  <c r="AM66" i="8"/>
  <c r="AM49" i="8"/>
  <c r="AM32" i="8"/>
  <c r="AM33" i="6"/>
  <c r="AM22" i="10"/>
  <c r="AM18" i="10"/>
  <c r="AL14" i="10"/>
  <c r="AM21" i="10"/>
  <c r="AM17" i="10"/>
  <c r="AM13" i="10"/>
  <c r="AM67" i="8"/>
  <c r="AM60" i="8"/>
  <c r="AM50" i="8"/>
  <c r="AM43" i="8"/>
  <c r="AM36" i="8"/>
  <c r="AM26" i="8"/>
  <c r="AM19" i="8"/>
  <c r="AM12" i="8"/>
  <c r="AM29" i="6"/>
  <c r="AM28" i="6"/>
  <c r="AM42" i="8"/>
  <c r="AM25" i="8"/>
  <c r="AM13" i="8"/>
  <c r="AM20" i="6"/>
  <c r="AM24" i="10"/>
  <c r="AM20" i="10"/>
  <c r="AM16" i="10"/>
  <c r="AM68" i="8"/>
  <c r="AM61" i="8"/>
  <c r="AM54" i="8"/>
  <c r="AM44" i="8"/>
  <c r="AM37" i="8"/>
  <c r="AM30" i="8"/>
  <c r="AM20" i="8"/>
  <c r="AM15" i="8"/>
  <c r="AM19" i="6"/>
  <c r="AM56" i="8"/>
  <c r="AM18" i="8"/>
  <c r="AM30" i="6"/>
  <c r="E90" i="5"/>
  <c r="AI14" i="6" s="1"/>
  <c r="L42" i="5"/>
  <c r="R23" i="10"/>
  <c r="R19" i="10"/>
  <c r="R15" i="10"/>
  <c r="R38" i="9"/>
  <c r="R68" i="8"/>
  <c r="R61" i="8"/>
  <c r="R54" i="8"/>
  <c r="R44" i="8"/>
  <c r="R37" i="8"/>
  <c r="R30" i="8"/>
  <c r="R20" i="8"/>
  <c r="R15" i="8"/>
  <c r="R28" i="6"/>
  <c r="R19" i="6"/>
  <c r="R20" i="6"/>
  <c r="R22" i="10"/>
  <c r="R18" i="10"/>
  <c r="Q14" i="10"/>
  <c r="R62" i="8"/>
  <c r="R55" i="8"/>
  <c r="R48" i="8"/>
  <c r="R38" i="8"/>
  <c r="R31" i="8"/>
  <c r="R24" i="8"/>
  <c r="R14" i="8"/>
  <c r="R21" i="10"/>
  <c r="R17" i="10"/>
  <c r="R13" i="10"/>
  <c r="R21" i="6"/>
  <c r="R66" i="8"/>
  <c r="R56" i="8"/>
  <c r="R49" i="8"/>
  <c r="R42" i="8"/>
  <c r="R32" i="8"/>
  <c r="R25" i="8"/>
  <c r="R18" i="8"/>
  <c r="R13" i="8"/>
  <c r="R6" i="6"/>
  <c r="R30" i="6"/>
  <c r="R32" i="6"/>
  <c r="R24" i="10"/>
  <c r="R20" i="10"/>
  <c r="R16" i="10"/>
  <c r="R67" i="8"/>
  <c r="R60" i="8"/>
  <c r="R50" i="8"/>
  <c r="R43" i="8"/>
  <c r="R36" i="8"/>
  <c r="R26" i="8"/>
  <c r="R19" i="8"/>
  <c r="R12" i="8"/>
  <c r="R29" i="6"/>
  <c r="R33" i="6"/>
  <c r="R31" i="6"/>
  <c r="E34" i="5"/>
  <c r="L34" i="5" s="1"/>
  <c r="BO106" i="5"/>
  <c r="S114" i="5"/>
  <c r="BO114" i="5" s="1"/>
  <c r="AC18" i="5"/>
  <c r="AQ18" i="5"/>
  <c r="AE106" i="5"/>
  <c r="AE114" i="5" s="1"/>
  <c r="X106" i="5"/>
  <c r="Q114" i="5"/>
  <c r="AV7" i="10"/>
  <c r="BC114" i="5"/>
  <c r="AM33" i="8" l="1"/>
  <c r="AM45" i="8"/>
  <c r="AM69" i="8"/>
  <c r="AM39" i="8"/>
  <c r="AM51" i="8"/>
  <c r="AM63" i="8"/>
  <c r="AM27" i="8"/>
  <c r="AM14" i="10"/>
  <c r="AM26" i="10" s="1"/>
  <c r="AL26" i="10"/>
  <c r="AM21" i="8"/>
  <c r="AM57" i="8"/>
  <c r="L90" i="5"/>
  <c r="AJ23" i="10"/>
  <c r="AJ19" i="10"/>
  <c r="AJ15" i="10"/>
  <c r="AJ21" i="6"/>
  <c r="AJ66" i="8"/>
  <c r="AJ56" i="8"/>
  <c r="AJ49" i="8"/>
  <c r="AJ42" i="8"/>
  <c r="AJ32" i="8"/>
  <c r="AJ25" i="8"/>
  <c r="AJ18" i="8"/>
  <c r="AJ13" i="8"/>
  <c r="AJ29" i="6"/>
  <c r="AJ19" i="6"/>
  <c r="AJ22" i="10"/>
  <c r="AJ18" i="10"/>
  <c r="AI14" i="10"/>
  <c r="AJ38" i="9"/>
  <c r="AJ67" i="8"/>
  <c r="AJ60" i="8"/>
  <c r="AJ50" i="8"/>
  <c r="AJ43" i="8"/>
  <c r="AJ36" i="8"/>
  <c r="AJ26" i="8"/>
  <c r="AJ19" i="8"/>
  <c r="AJ12" i="8"/>
  <c r="AJ6" i="6"/>
  <c r="AJ20" i="6"/>
  <c r="AJ28" i="6"/>
  <c r="AJ30" i="6"/>
  <c r="AJ21" i="10"/>
  <c r="AJ17" i="10"/>
  <c r="AJ13" i="10"/>
  <c r="AJ68" i="8"/>
  <c r="AJ61" i="8"/>
  <c r="AJ54" i="8"/>
  <c r="AJ44" i="8"/>
  <c r="AJ37" i="8"/>
  <c r="AJ30" i="8"/>
  <c r="AJ20" i="8"/>
  <c r="AJ15" i="8"/>
  <c r="AJ32" i="6"/>
  <c r="AJ33" i="6"/>
  <c r="AJ31" i="6"/>
  <c r="AJ24" i="10"/>
  <c r="AJ20" i="10"/>
  <c r="AJ16" i="10"/>
  <c r="AJ62" i="8"/>
  <c r="AJ55" i="8"/>
  <c r="AJ48" i="8"/>
  <c r="AJ38" i="8"/>
  <c r="AJ31" i="8"/>
  <c r="AJ24" i="8"/>
  <c r="AJ14" i="8"/>
  <c r="R39" i="8"/>
  <c r="R21" i="8"/>
  <c r="R27" i="8"/>
  <c r="R57" i="8"/>
  <c r="R69" i="8"/>
  <c r="Q26" i="10"/>
  <c r="R14" i="10"/>
  <c r="R26" i="10" s="1"/>
  <c r="R33" i="8"/>
  <c r="R63" i="8"/>
  <c r="R45" i="8"/>
  <c r="R51" i="8"/>
  <c r="N14" i="6"/>
  <c r="O19" i="10" s="1"/>
  <c r="AO18" i="5"/>
  <c r="AO106" i="5" s="1"/>
  <c r="AQ106" i="5"/>
  <c r="AQ114" i="5" s="1"/>
  <c r="AP11" i="6"/>
  <c r="V114" i="5"/>
  <c r="AC106" i="5"/>
  <c r="AL27" i="6" l="1"/>
  <c r="AM6" i="10"/>
  <c r="AJ51" i="8"/>
  <c r="AJ27" i="8"/>
  <c r="AJ57" i="8"/>
  <c r="AJ63" i="8"/>
  <c r="AJ45" i="8"/>
  <c r="AJ33" i="8"/>
  <c r="AJ39" i="8"/>
  <c r="AJ21" i="8"/>
  <c r="AJ14" i="10"/>
  <c r="AJ26" i="10" s="1"/>
  <c r="AI26" i="10"/>
  <c r="AJ69" i="8"/>
  <c r="Q27" i="6"/>
  <c r="R6" i="10"/>
  <c r="O26" i="8"/>
  <c r="O19" i="8"/>
  <c r="O60" i="8"/>
  <c r="O16" i="10"/>
  <c r="O20" i="10"/>
  <c r="O43" i="8"/>
  <c r="O32" i="6"/>
  <c r="O6" i="6"/>
  <c r="O49" i="8"/>
  <c r="O33" i="6"/>
  <c r="O56" i="8"/>
  <c r="O14" i="8"/>
  <c r="O12" i="8"/>
  <c r="O50" i="8"/>
  <c r="O24" i="10"/>
  <c r="O18" i="8"/>
  <c r="O66" i="8"/>
  <c r="O38" i="8"/>
  <c r="O19" i="6"/>
  <c r="O25" i="8"/>
  <c r="O21" i="10"/>
  <c r="O62" i="8"/>
  <c r="O18" i="10"/>
  <c r="O32" i="8"/>
  <c r="O17" i="10"/>
  <c r="O31" i="8"/>
  <c r="O30" i="6"/>
  <c r="O15" i="8"/>
  <c r="N14" i="10"/>
  <c r="O14" i="10" s="1"/>
  <c r="O30" i="8"/>
  <c r="O61" i="8"/>
  <c r="O68" i="8"/>
  <c r="O36" i="8"/>
  <c r="O67" i="8"/>
  <c r="O31" i="6"/>
  <c r="O13" i="8"/>
  <c r="O42" i="8"/>
  <c r="O13" i="10"/>
  <c r="O28" i="6"/>
  <c r="O48" i="8"/>
  <c r="O29" i="6"/>
  <c r="O37" i="8"/>
  <c r="O44" i="8"/>
  <c r="O21" i="6"/>
  <c r="O38" i="9"/>
  <c r="O20" i="6"/>
  <c r="O24" i="8"/>
  <c r="O55" i="8"/>
  <c r="O22" i="10"/>
  <c r="O20" i="8"/>
  <c r="O54" i="8"/>
  <c r="O15" i="10"/>
  <c r="O23" i="10"/>
  <c r="E18" i="5"/>
  <c r="H14" i="6" s="1"/>
  <c r="AC114" i="5"/>
  <c r="AJ106" i="5"/>
  <c r="E106" i="5"/>
  <c r="L106" i="5" s="1"/>
  <c r="AV106" i="5"/>
  <c r="AO114" i="5"/>
  <c r="AL34" i="6" l="1"/>
  <c r="AM34" i="6" s="1"/>
  <c r="AM27" i="6"/>
  <c r="AI27" i="6"/>
  <c r="AJ6" i="10"/>
  <c r="Q34" i="6"/>
  <c r="R34" i="6" s="1"/>
  <c r="R27" i="6"/>
  <c r="O21" i="8"/>
  <c r="O39" i="8"/>
  <c r="O33" i="8"/>
  <c r="O51" i="8"/>
  <c r="O27" i="8"/>
  <c r="O63" i="8"/>
  <c r="N26" i="10"/>
  <c r="O6" i="10" s="1"/>
  <c r="O69" i="8"/>
  <c r="O45" i="8"/>
  <c r="O57" i="8"/>
  <c r="O26" i="10"/>
  <c r="L18" i="5"/>
  <c r="AP13" i="6"/>
  <c r="AT114" i="5"/>
  <c r="AH114" i="5"/>
  <c r="AP12" i="6"/>
  <c r="E114" i="5"/>
  <c r="J114" i="5" s="1"/>
  <c r="I66" i="8"/>
  <c r="I32" i="8"/>
  <c r="I24" i="10"/>
  <c r="I67" i="8"/>
  <c r="I36" i="8"/>
  <c r="I23" i="10"/>
  <c r="I61" i="8"/>
  <c r="I30" i="8"/>
  <c r="I18" i="10"/>
  <c r="I62" i="8"/>
  <c r="I31" i="8"/>
  <c r="I30" i="6"/>
  <c r="I32" i="6"/>
  <c r="I13" i="8"/>
  <c r="I12" i="8"/>
  <c r="I22" i="10"/>
  <c r="I38" i="8"/>
  <c r="I21" i="10"/>
  <c r="I56" i="8"/>
  <c r="I25" i="8"/>
  <c r="I20" i="10"/>
  <c r="I60" i="8"/>
  <c r="I26" i="8"/>
  <c r="I19" i="10"/>
  <c r="I54" i="8"/>
  <c r="I20" i="8"/>
  <c r="H14" i="10"/>
  <c r="I55" i="8"/>
  <c r="I24" i="8"/>
  <c r="I31" i="6"/>
  <c r="I20" i="6"/>
  <c r="I50" i="8"/>
  <c r="I15" i="10"/>
  <c r="I15" i="8"/>
  <c r="I48" i="8"/>
  <c r="I14" i="8"/>
  <c r="I19" i="6"/>
  <c r="I42" i="8"/>
  <c r="I43" i="8"/>
  <c r="I38" i="9"/>
  <c r="I29" i="6"/>
  <c r="I17" i="10"/>
  <c r="I49" i="8"/>
  <c r="I18" i="8"/>
  <c r="I16" i="10"/>
  <c r="I19" i="8"/>
  <c r="I44" i="8"/>
  <c r="AP14" i="6"/>
  <c r="I33" i="6"/>
  <c r="I21" i="6"/>
  <c r="I37" i="8"/>
  <c r="I6" i="6"/>
  <c r="I28" i="6"/>
  <c r="I13" i="10"/>
  <c r="I68" i="8"/>
  <c r="AJ27" i="6" l="1"/>
  <c r="AI34" i="6"/>
  <c r="AJ34" i="6" s="1"/>
  <c r="N27" i="6"/>
  <c r="O27" i="6" s="1"/>
  <c r="I27" i="8"/>
  <c r="I21" i="8"/>
  <c r="I51" i="8"/>
  <c r="I14" i="10"/>
  <c r="I26" i="10" s="1"/>
  <c r="H26" i="10"/>
  <c r="AP14" i="10"/>
  <c r="AQ12" i="6"/>
  <c r="I45" i="8"/>
  <c r="I63" i="8"/>
  <c r="I57" i="8"/>
  <c r="I39" i="8"/>
  <c r="I69" i="8"/>
  <c r="AL7" i="6"/>
  <c r="AQ34" i="9"/>
  <c r="AQ20" i="9"/>
  <c r="AQ54" i="8"/>
  <c r="AQ30" i="8"/>
  <c r="AQ12" i="8"/>
  <c r="AQ38" i="9"/>
  <c r="AQ63" i="8"/>
  <c r="AQ39" i="8"/>
  <c r="N7" i="6"/>
  <c r="AQ15" i="9"/>
  <c r="AQ66" i="8"/>
  <c r="AQ42" i="8"/>
  <c r="AQ24" i="8"/>
  <c r="Q7" i="6"/>
  <c r="AQ69" i="8"/>
  <c r="AQ49" i="8"/>
  <c r="AQ32" i="6"/>
  <c r="AQ19" i="6"/>
  <c r="AQ20" i="6"/>
  <c r="AQ23" i="10"/>
  <c r="AQ22" i="10"/>
  <c r="AQ20" i="10"/>
  <c r="K7" i="6"/>
  <c r="AQ27" i="9"/>
  <c r="AQ26" i="8"/>
  <c r="AQ21" i="8"/>
  <c r="C9" i="6"/>
  <c r="AQ15" i="10"/>
  <c r="AF7" i="6"/>
  <c r="AQ14" i="9"/>
  <c r="AQ13" i="9"/>
  <c r="AQ45" i="8"/>
  <c r="AQ25" i="8"/>
  <c r="AI7" i="6"/>
  <c r="AQ31" i="9"/>
  <c r="AQ61" i="8"/>
  <c r="AQ37" i="8"/>
  <c r="AQ28" i="9"/>
  <c r="AQ17" i="9"/>
  <c r="AQ57" i="8"/>
  <c r="AQ33" i="8"/>
  <c r="AQ18" i="8"/>
  <c r="E7" i="6"/>
  <c r="AQ62" i="8"/>
  <c r="AQ38" i="8"/>
  <c r="AQ33" i="6"/>
  <c r="AQ21" i="6"/>
  <c r="AQ6" i="6"/>
  <c r="AQ17" i="10"/>
  <c r="AQ16" i="10"/>
  <c r="AQ19" i="10"/>
  <c r="AQ36" i="8"/>
  <c r="AQ28" i="6"/>
  <c r="AQ29" i="6"/>
  <c r="AQ21" i="10"/>
  <c r="AQ11" i="6"/>
  <c r="H7" i="6"/>
  <c r="AQ30" i="9"/>
  <c r="AQ32" i="8"/>
  <c r="AQ67" i="8"/>
  <c r="Z7" i="6"/>
  <c r="AQ44" i="8"/>
  <c r="AQ33" i="9"/>
  <c r="AQ30" i="6"/>
  <c r="AQ18" i="10"/>
  <c r="T7" i="6"/>
  <c r="AQ16" i="9"/>
  <c r="AQ68" i="8"/>
  <c r="AQ43" i="8"/>
  <c r="AQ20" i="8"/>
  <c r="W7" i="6"/>
  <c r="AQ35" i="9"/>
  <c r="AQ50" i="8"/>
  <c r="AQ19" i="8"/>
  <c r="AQ32" i="9"/>
  <c r="AQ19" i="9"/>
  <c r="AQ55" i="8"/>
  <c r="AQ31" i="8"/>
  <c r="AQ13" i="8"/>
  <c r="AQ29" i="9"/>
  <c r="AQ60" i="8"/>
  <c r="AQ31" i="6"/>
  <c r="AQ13" i="10"/>
  <c r="AQ18" i="9"/>
  <c r="AQ14" i="8"/>
  <c r="AQ48" i="8"/>
  <c r="AQ21" i="9"/>
  <c r="AC7" i="6"/>
  <c r="AQ51" i="8"/>
  <c r="AQ24" i="10"/>
  <c r="AQ56" i="8"/>
  <c r="I33" i="8"/>
  <c r="AQ13" i="6"/>
  <c r="N34" i="6" l="1"/>
  <c r="O34" i="6" s="1"/>
  <c r="AD38" i="6"/>
  <c r="AC39" i="6"/>
  <c r="AD39" i="6" s="1"/>
  <c r="AC11" i="6"/>
  <c r="Q11" i="6"/>
  <c r="AL11" i="6"/>
  <c r="Z11" i="6"/>
  <c r="N11" i="6"/>
  <c r="H11" i="6"/>
  <c r="AI11" i="6"/>
  <c r="W11" i="6"/>
  <c r="K11" i="6"/>
  <c r="AF11" i="6"/>
  <c r="E11" i="6"/>
  <c r="AQ14" i="6"/>
  <c r="T11" i="6"/>
  <c r="AQ36" i="9"/>
  <c r="AL39" i="6"/>
  <c r="AP26" i="10"/>
  <c r="AQ14" i="10"/>
  <c r="AQ26" i="10" s="1"/>
  <c r="X38" i="6"/>
  <c r="W39" i="6"/>
  <c r="X39" i="6" s="1"/>
  <c r="E39" i="6"/>
  <c r="F39" i="6" s="1"/>
  <c r="AP7" i="6"/>
  <c r="AS7" i="6" s="1"/>
  <c r="F38" i="6"/>
  <c r="AQ23" i="9"/>
  <c r="L38" i="6"/>
  <c r="K39" i="6"/>
  <c r="L39" i="6" s="1"/>
  <c r="H27" i="6"/>
  <c r="I6" i="10"/>
  <c r="U38" i="6"/>
  <c r="T39" i="6"/>
  <c r="U39" i="6" s="1"/>
  <c r="AI38" i="6"/>
  <c r="AJ38" i="6" s="1"/>
  <c r="AI39" i="6"/>
  <c r="AJ39" i="6" s="1"/>
  <c r="Q39" i="6"/>
  <c r="R39" i="6" s="1"/>
  <c r="R38" i="6"/>
  <c r="AI13" i="6"/>
  <c r="AF13" i="6"/>
  <c r="T13" i="6"/>
  <c r="E13" i="6"/>
  <c r="AC13" i="6"/>
  <c r="Q13" i="6"/>
  <c r="H13" i="6"/>
  <c r="AL13" i="6"/>
  <c r="N13" i="6"/>
  <c r="K13" i="6"/>
  <c r="Z13" i="6"/>
  <c r="W13" i="6"/>
  <c r="Z39" i="6"/>
  <c r="AA39" i="6" s="1"/>
  <c r="AA38" i="6"/>
  <c r="H39" i="6"/>
  <c r="I39" i="6" s="1"/>
  <c r="I38" i="6"/>
  <c r="AG38" i="6"/>
  <c r="AF39" i="6"/>
  <c r="AG39" i="6" s="1"/>
  <c r="AQ27" i="8"/>
  <c r="N39" i="6"/>
  <c r="O39" i="6" s="1"/>
  <c r="O38" i="6"/>
  <c r="AQ15" i="8"/>
  <c r="AI12" i="6"/>
  <c r="AF12" i="6"/>
  <c r="T12" i="6"/>
  <c r="E12" i="6"/>
  <c r="AC12" i="6"/>
  <c r="Q12" i="6"/>
  <c r="H12" i="6"/>
  <c r="AL12" i="6"/>
  <c r="N12" i="6"/>
  <c r="K12" i="6"/>
  <c r="Z12" i="6"/>
  <c r="W12" i="6"/>
  <c r="O12" i="6" l="1"/>
  <c r="M12" i="7"/>
  <c r="M20" i="7" s="1"/>
  <c r="N20" i="7" s="1"/>
  <c r="AB12" i="7"/>
  <c r="AB20" i="7" s="1"/>
  <c r="AC20" i="7" s="1"/>
  <c r="AD12" i="6"/>
  <c r="G13" i="7"/>
  <c r="I13" i="6"/>
  <c r="S13" i="7"/>
  <c r="U13" i="6"/>
  <c r="AG11" i="6"/>
  <c r="AE11" i="7"/>
  <c r="V12" i="7"/>
  <c r="V20" i="7" s="1"/>
  <c r="W20" i="7" s="1"/>
  <c r="X12" i="6"/>
  <c r="AK12" i="7"/>
  <c r="AM12" i="6"/>
  <c r="D12" i="7"/>
  <c r="D20" i="7" s="1"/>
  <c r="E20" i="7" s="1"/>
  <c r="F12" i="6"/>
  <c r="L13" i="6"/>
  <c r="J13" i="7"/>
  <c r="P13" i="7"/>
  <c r="R13" i="6"/>
  <c r="AE13" i="7"/>
  <c r="AG13" i="6"/>
  <c r="AT7" i="10"/>
  <c r="BA7" i="10" s="1"/>
  <c r="AC7" i="10"/>
  <c r="AQ6" i="10"/>
  <c r="T7" i="10"/>
  <c r="AL7" i="10"/>
  <c r="AP7" i="10"/>
  <c r="K7" i="10"/>
  <c r="N7" i="10"/>
  <c r="AF7" i="10"/>
  <c r="AI7" i="10"/>
  <c r="Q7" i="10"/>
  <c r="E7" i="10"/>
  <c r="Z7" i="10"/>
  <c r="W7" i="10"/>
  <c r="S11" i="7"/>
  <c r="U11" i="6"/>
  <c r="L11" i="6"/>
  <c r="J11" i="7"/>
  <c r="M11" i="7"/>
  <c r="O11" i="6"/>
  <c r="AB11" i="7"/>
  <c r="AD11" i="6"/>
  <c r="Y13" i="7"/>
  <c r="AA13" i="6"/>
  <c r="P11" i="7"/>
  <c r="R11" i="6"/>
  <c r="Y12" i="7"/>
  <c r="Y20" i="7" s="1"/>
  <c r="Z20" i="7" s="1"/>
  <c r="AA12" i="6"/>
  <c r="G12" i="7"/>
  <c r="G20" i="7" s="1"/>
  <c r="H20" i="7" s="1"/>
  <c r="I12" i="6"/>
  <c r="S12" i="7"/>
  <c r="S20" i="7" s="1"/>
  <c r="T20" i="7" s="1"/>
  <c r="U12" i="6"/>
  <c r="M13" i="7"/>
  <c r="O13" i="6"/>
  <c r="AB13" i="7"/>
  <c r="AD13" i="6"/>
  <c r="AH13" i="7"/>
  <c r="AJ13" i="6"/>
  <c r="H34" i="6"/>
  <c r="I27" i="6"/>
  <c r="AP27" i="6"/>
  <c r="AQ27" i="6" s="1"/>
  <c r="AP39" i="6"/>
  <c r="AQ39" i="6" s="1"/>
  <c r="AM39" i="6"/>
  <c r="X11" i="6"/>
  <c r="V11" i="7"/>
  <c r="Y11" i="7"/>
  <c r="AA11" i="6"/>
  <c r="AH12" i="7"/>
  <c r="AH20" i="7" s="1"/>
  <c r="AI20" i="7" s="1"/>
  <c r="AJ12" i="6"/>
  <c r="I11" i="6"/>
  <c r="G11" i="7"/>
  <c r="J12" i="7"/>
  <c r="J20" i="7" s="1"/>
  <c r="K20" i="7" s="1"/>
  <c r="L12" i="6"/>
  <c r="P12" i="7"/>
  <c r="P20" i="7" s="1"/>
  <c r="Q20" i="7" s="1"/>
  <c r="R12" i="6"/>
  <c r="AG12" i="6"/>
  <c r="AE12" i="7"/>
  <c r="AE20" i="7" s="1"/>
  <c r="AF20" i="7" s="1"/>
  <c r="V13" i="7"/>
  <c r="X13" i="6"/>
  <c r="AK13" i="7"/>
  <c r="AM13" i="6"/>
  <c r="D13" i="7"/>
  <c r="F13" i="6"/>
  <c r="H7" i="10"/>
  <c r="AP38" i="6"/>
  <c r="AQ38" i="6" s="1"/>
  <c r="AM38" i="6"/>
  <c r="D11" i="7"/>
  <c r="F11" i="6"/>
  <c r="AJ11" i="6"/>
  <c r="AH11" i="7"/>
  <c r="AK11" i="7"/>
  <c r="AM11" i="6"/>
  <c r="I14" i="6" l="1"/>
  <c r="R14" i="6"/>
  <c r="AA14" i="6"/>
  <c r="AD14" i="6"/>
  <c r="AH14" i="7"/>
  <c r="AH19" i="7"/>
  <c r="AI19" i="7" s="1"/>
  <c r="AH18" i="7"/>
  <c r="AI18" i="7" s="1"/>
  <c r="Y19" i="7"/>
  <c r="Z19" i="7" s="1"/>
  <c r="Y14" i="7"/>
  <c r="Y18" i="7"/>
  <c r="Z18" i="7" s="1"/>
  <c r="J18" i="7"/>
  <c r="K18" i="7" s="1"/>
  <c r="J14" i="7"/>
  <c r="J19" i="7"/>
  <c r="K19" i="7" s="1"/>
  <c r="P19" i="7"/>
  <c r="Q19" i="7" s="1"/>
  <c r="P14" i="7"/>
  <c r="P18" i="7"/>
  <c r="Q18" i="7" s="1"/>
  <c r="L14" i="6"/>
  <c r="AM14" i="6"/>
  <c r="F14" i="6"/>
  <c r="AO13" i="7"/>
  <c r="AP13" i="7" s="1"/>
  <c r="X14" i="6"/>
  <c r="O14" i="6"/>
  <c r="U14" i="6"/>
  <c r="AE18" i="7"/>
  <c r="AF18" i="7" s="1"/>
  <c r="AE14" i="7"/>
  <c r="AE19" i="7"/>
  <c r="AF19" i="7" s="1"/>
  <c r="AJ14" i="6"/>
  <c r="V19" i="7"/>
  <c r="W19" i="7" s="1"/>
  <c r="V18" i="7"/>
  <c r="W18" i="7" s="1"/>
  <c r="V14" i="7"/>
  <c r="AB18" i="7"/>
  <c r="AC18" i="7" s="1"/>
  <c r="AB14" i="7"/>
  <c r="AB19" i="7"/>
  <c r="AC19" i="7" s="1"/>
  <c r="AK18" i="7"/>
  <c r="AK19" i="7"/>
  <c r="AL19" i="7" s="1"/>
  <c r="AK14" i="7"/>
  <c r="AO11" i="7"/>
  <c r="D18" i="7"/>
  <c r="E18" i="7" s="1"/>
  <c r="D14" i="7"/>
  <c r="D19" i="7"/>
  <c r="E19" i="7" s="1"/>
  <c r="G18" i="7"/>
  <c r="H18" i="7" s="1"/>
  <c r="G14" i="7"/>
  <c r="G19" i="7"/>
  <c r="H19" i="7" s="1"/>
  <c r="I34" i="6"/>
  <c r="AP34" i="6"/>
  <c r="AQ34" i="6" s="1"/>
  <c r="M19" i="7"/>
  <c r="N19" i="7" s="1"/>
  <c r="M18" i="7"/>
  <c r="N18" i="7" s="1"/>
  <c r="M14" i="7"/>
  <c r="S18" i="7"/>
  <c r="T18" i="7" s="1"/>
  <c r="S14" i="7"/>
  <c r="S19" i="7"/>
  <c r="T19" i="7" s="1"/>
  <c r="AK20" i="7"/>
  <c r="AL20" i="7" s="1"/>
  <c r="AO12" i="7"/>
  <c r="AG14" i="6"/>
  <c r="N16" i="6" l="1"/>
  <c r="M16" i="7"/>
  <c r="N14" i="7"/>
  <c r="N16" i="7" s="1"/>
  <c r="M22" i="7"/>
  <c r="N22" i="7" s="1"/>
  <c r="N6" i="7"/>
  <c r="AL16" i="6"/>
  <c r="AK22" i="7"/>
  <c r="AL22" i="7" s="1"/>
  <c r="AL6" i="7"/>
  <c r="AK16" i="7"/>
  <c r="AL14" i="7"/>
  <c r="AL16" i="7" s="1"/>
  <c r="AC16" i="6"/>
  <c r="AB16" i="7"/>
  <c r="AC14" i="7"/>
  <c r="AC16" i="7" s="1"/>
  <c r="AB22" i="7"/>
  <c r="AC22" i="7" s="1"/>
  <c r="AC6" i="7"/>
  <c r="K16" i="6"/>
  <c r="K6" i="7"/>
  <c r="K14" i="7"/>
  <c r="K16" i="7" s="1"/>
  <c r="J22" i="7"/>
  <c r="K22" i="7" s="1"/>
  <c r="J16" i="7"/>
  <c r="D16" i="7"/>
  <c r="E14" i="7"/>
  <c r="E16" i="7" s="1"/>
  <c r="E16" i="6"/>
  <c r="E6" i="7"/>
  <c r="D22" i="7"/>
  <c r="E22" i="7" s="1"/>
  <c r="P16" i="7"/>
  <c r="Q16" i="6"/>
  <c r="P22" i="7"/>
  <c r="Q22" i="7" s="1"/>
  <c r="Q6" i="7"/>
  <c r="Q14" i="7"/>
  <c r="Q16" i="7" s="1"/>
  <c r="AO18" i="7"/>
  <c r="AP18" i="7" s="1"/>
  <c r="AL18" i="7"/>
  <c r="V16" i="7"/>
  <c r="V22" i="7"/>
  <c r="W22" i="7" s="1"/>
  <c r="W6" i="7"/>
  <c r="W16" i="6"/>
  <c r="W14" i="7"/>
  <c r="W16" i="7" s="1"/>
  <c r="T6" i="7"/>
  <c r="S22" i="7"/>
  <c r="T22" i="7" s="1"/>
  <c r="S16" i="7"/>
  <c r="T16" i="6"/>
  <c r="T14" i="7"/>
  <c r="T16" i="7" s="1"/>
  <c r="G16" i="7"/>
  <c r="H14" i="7"/>
  <c r="H16" i="7" s="1"/>
  <c r="H6" i="7"/>
  <c r="H16" i="6"/>
  <c r="G22" i="7"/>
  <c r="H22" i="7" s="1"/>
  <c r="AO20" i="7"/>
  <c r="AP20" i="7" s="1"/>
  <c r="AP12" i="7"/>
  <c r="AO19" i="7"/>
  <c r="AP19" i="7" s="1"/>
  <c r="AP11" i="7"/>
  <c r="AO14" i="7"/>
  <c r="M7" i="7" s="1"/>
  <c r="AF6" i="7"/>
  <c r="AF14" i="7"/>
  <c r="AF16" i="7" s="1"/>
  <c r="AE16" i="7"/>
  <c r="AE22" i="7"/>
  <c r="AF22" i="7" s="1"/>
  <c r="AF16" i="6"/>
  <c r="Z16" i="6"/>
  <c r="Y22" i="7"/>
  <c r="Z22" i="7" s="1"/>
  <c r="Z6" i="7"/>
  <c r="Z14" i="7"/>
  <c r="Z16" i="7" s="1"/>
  <c r="Y16" i="7"/>
  <c r="AI16" i="6"/>
  <c r="AH22" i="7"/>
  <c r="AI22" i="7" s="1"/>
  <c r="AH16" i="7"/>
  <c r="AI6" i="7"/>
  <c r="AI14" i="7"/>
  <c r="AI16" i="7" s="1"/>
  <c r="AE7" i="7" l="1"/>
  <c r="Y7" i="7"/>
  <c r="AH7" i="7"/>
  <c r="S7" i="7"/>
  <c r="P7" i="7"/>
  <c r="J7" i="7"/>
  <c r="AB7" i="7"/>
  <c r="H23" i="6"/>
  <c r="I16" i="6"/>
  <c r="X16" i="6"/>
  <c r="W23" i="6"/>
  <c r="AP16" i="6"/>
  <c r="AQ16" i="6" s="1"/>
  <c r="AL23" i="6"/>
  <c r="AM16" i="6"/>
  <c r="AF23" i="6"/>
  <c r="AG16" i="6"/>
  <c r="AC23" i="6"/>
  <c r="AD16" i="6"/>
  <c r="AI23" i="6"/>
  <c r="AJ16" i="6"/>
  <c r="D7" i="7"/>
  <c r="AP6" i="7"/>
  <c r="B9" i="7"/>
  <c r="G7" i="7"/>
  <c r="AO22" i="7"/>
  <c r="AP14" i="7"/>
  <c r="AK7" i="7"/>
  <c r="AO7" i="7"/>
  <c r="T23" i="6"/>
  <c r="U16" i="6"/>
  <c r="V7" i="7"/>
  <c r="Q23" i="6"/>
  <c r="R16" i="6"/>
  <c r="E23" i="6"/>
  <c r="F16" i="6"/>
  <c r="K23" i="6"/>
  <c r="L16" i="6"/>
  <c r="AO16" i="7"/>
  <c r="AP16" i="7" s="1"/>
  <c r="AA16" i="6"/>
  <c r="Z23" i="6"/>
  <c r="O16" i="6"/>
  <c r="N23" i="6"/>
  <c r="AJ23" i="6" l="1"/>
  <c r="AI25" i="6"/>
  <c r="AF25" i="6"/>
  <c r="AG23" i="6"/>
  <c r="W25" i="6"/>
  <c r="X23" i="6"/>
  <c r="O23" i="6"/>
  <c r="N25" i="6"/>
  <c r="AP22" i="7"/>
  <c r="AT7" i="7"/>
  <c r="BA7" i="7" s="1"/>
  <c r="AC25" i="6"/>
  <c r="AD23" i="6"/>
  <c r="AP23" i="6"/>
  <c r="AQ23" i="6" s="1"/>
  <c r="AM23" i="6"/>
  <c r="AL25" i="6"/>
  <c r="E25" i="6"/>
  <c r="F23" i="6"/>
  <c r="T25" i="6"/>
  <c r="U23" i="6"/>
  <c r="AA23" i="6"/>
  <c r="Z25" i="6"/>
  <c r="K25" i="6"/>
  <c r="L23" i="6"/>
  <c r="Q25" i="6"/>
  <c r="R23" i="6"/>
  <c r="I23" i="6"/>
  <c r="H25" i="6"/>
  <c r="Q36" i="6" l="1"/>
  <c r="R25" i="6"/>
  <c r="F25" i="6"/>
  <c r="E36" i="6"/>
  <c r="O25" i="6"/>
  <c r="N36" i="6"/>
  <c r="I25" i="6"/>
  <c r="H36" i="6"/>
  <c r="AM25" i="6"/>
  <c r="AL36" i="6"/>
  <c r="AP25" i="6"/>
  <c r="AQ25" i="6" s="1"/>
  <c r="AD25" i="6"/>
  <c r="AC36" i="6"/>
  <c r="AG25" i="6"/>
  <c r="AF36" i="6"/>
  <c r="L25" i="6"/>
  <c r="K36" i="6"/>
  <c r="U25" i="6"/>
  <c r="T36" i="6"/>
  <c r="AI36" i="6"/>
  <c r="AJ25" i="6"/>
  <c r="AA25" i="6"/>
  <c r="Z36" i="6"/>
  <c r="X25" i="6"/>
  <c r="W36" i="6"/>
  <c r="H41" i="6" l="1"/>
  <c r="I36" i="6"/>
  <c r="E41" i="6"/>
  <c r="F36" i="6"/>
  <c r="AA36" i="6"/>
  <c r="Z41" i="6"/>
  <c r="U36" i="6"/>
  <c r="T41" i="6"/>
  <c r="AG36" i="6"/>
  <c r="AF41" i="6"/>
  <c r="AL41" i="6"/>
  <c r="AP36" i="6"/>
  <c r="AQ36" i="6" s="1"/>
  <c r="AM36" i="6"/>
  <c r="N41" i="6"/>
  <c r="O36" i="6"/>
  <c r="AJ36" i="6"/>
  <c r="AI41" i="6"/>
  <c r="W41" i="6"/>
  <c r="X36" i="6"/>
  <c r="K41" i="6"/>
  <c r="L36" i="6"/>
  <c r="AC41" i="6"/>
  <c r="AD36" i="6"/>
  <c r="R36" i="6"/>
  <c r="Q41" i="6"/>
  <c r="K43" i="6" l="1"/>
  <c r="L43" i="6" s="1"/>
  <c r="L41" i="6"/>
  <c r="U41" i="6"/>
  <c r="T43" i="6"/>
  <c r="AL43" i="6"/>
  <c r="AP41" i="6"/>
  <c r="AQ41" i="6" s="1"/>
  <c r="AM41" i="6"/>
  <c r="E43" i="6"/>
  <c r="F41" i="6"/>
  <c r="AD41" i="6"/>
  <c r="AC43" i="6"/>
  <c r="AD43" i="6" s="1"/>
  <c r="X41" i="6"/>
  <c r="W43" i="6"/>
  <c r="X43" i="6" s="1"/>
  <c r="O41" i="6"/>
  <c r="N43" i="6"/>
  <c r="O43" i="6" s="1"/>
  <c r="AG41" i="6"/>
  <c r="AF43" i="6"/>
  <c r="AG43" i="6" s="1"/>
  <c r="Z43" i="6"/>
  <c r="AA41" i="6"/>
  <c r="R41" i="6"/>
  <c r="Q43" i="6"/>
  <c r="AJ41" i="6"/>
  <c r="AI43" i="6"/>
  <c r="H43" i="6"/>
  <c r="I41" i="6"/>
  <c r="K45" i="6" l="1"/>
  <c r="BM26" i="5" s="1"/>
  <c r="BT26" i="5" s="1"/>
  <c r="AF45" i="6"/>
  <c r="BM82" i="5" s="1"/>
  <c r="BT82" i="5" s="1"/>
  <c r="N45" i="6"/>
  <c r="AJ43" i="6"/>
  <c r="AI45" i="6"/>
  <c r="AL45" i="6"/>
  <c r="AP43" i="6"/>
  <c r="AQ43" i="6" s="1"/>
  <c r="AM43" i="6"/>
  <c r="F43" i="6"/>
  <c r="E45" i="6"/>
  <c r="R43" i="6"/>
  <c r="Q45" i="6"/>
  <c r="AA43" i="6"/>
  <c r="Z45" i="6"/>
  <c r="U43" i="6"/>
  <c r="T45" i="6"/>
  <c r="AC45" i="6"/>
  <c r="I43" i="6"/>
  <c r="H45" i="6"/>
  <c r="W45" i="6"/>
  <c r="BA26" i="5" l="1"/>
  <c r="BH26" i="5" s="1"/>
  <c r="L45" i="6"/>
  <c r="AG45" i="6"/>
  <c r="BA82" i="5"/>
  <c r="BH82" i="5" s="1"/>
  <c r="O45" i="6"/>
  <c r="BM34" i="5"/>
  <c r="BT34" i="5" s="1"/>
  <c r="BA34" i="5"/>
  <c r="BH34" i="5" s="1"/>
  <c r="I45" i="6"/>
  <c r="BM18" i="5"/>
  <c r="BT18" i="5" s="1"/>
  <c r="BA18" i="5"/>
  <c r="BH18" i="5" s="1"/>
  <c r="BA50" i="5"/>
  <c r="BH50" i="5" s="1"/>
  <c r="U45" i="6"/>
  <c r="BM50" i="5"/>
  <c r="BT50" i="5" s="1"/>
  <c r="BM42" i="5"/>
  <c r="BT42" i="5" s="1"/>
  <c r="R45" i="6"/>
  <c r="BA42" i="5"/>
  <c r="BH42" i="5" s="1"/>
  <c r="AD45" i="6"/>
  <c r="BA74" i="5"/>
  <c r="BH74" i="5" s="1"/>
  <c r="BM74" i="5"/>
  <c r="BT74" i="5" s="1"/>
  <c r="AJ45" i="6"/>
  <c r="BM90" i="5"/>
  <c r="BT90" i="5" s="1"/>
  <c r="BA90" i="5"/>
  <c r="BH90" i="5" s="1"/>
  <c r="BA58" i="5"/>
  <c r="BH58" i="5" s="1"/>
  <c r="BM58" i="5"/>
  <c r="BT58" i="5" s="1"/>
  <c r="X45" i="6"/>
  <c r="BA66" i="5"/>
  <c r="BH66" i="5" s="1"/>
  <c r="BM66" i="5"/>
  <c r="BT66" i="5" s="1"/>
  <c r="AA45" i="6"/>
  <c r="BA10" i="5"/>
  <c r="BH10" i="5" s="1"/>
  <c r="BM10" i="5"/>
  <c r="BT10" i="5" s="1"/>
  <c r="F45" i="6"/>
  <c r="BM98" i="5"/>
  <c r="BT98" i="5" s="1"/>
  <c r="BA98" i="5"/>
  <c r="BH98" i="5" s="1"/>
  <c r="AM45" i="6"/>
  <c r="AP45" i="6"/>
  <c r="AQ45" i="6" l="1"/>
  <c r="BM106" i="5"/>
  <c r="BA106" i="5"/>
  <c r="BC7" i="6"/>
  <c r="BJ7" i="6" s="1"/>
  <c r="BT106" i="5" l="1"/>
  <c r="BM114" i="5"/>
  <c r="BR114" i="5" s="1"/>
  <c r="BA114" i="5"/>
  <c r="BF114" i="5" s="1"/>
  <c r="BH10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8BD2D7FC-E0AD-F44E-94B7-F278011585BA}">
      <text>
        <r>
          <rPr>
            <b/>
            <sz val="9"/>
            <color rgb="FF000000"/>
            <rFont val="Arial"/>
            <family val="2"/>
          </rPr>
          <t xml:space="preserve">Christian Latour :
</t>
        </r>
        <r>
          <rPr>
            <b/>
            <sz val="9"/>
            <color rgb="FF000000"/>
            <rFont val="Arial"/>
            <family val="2"/>
          </rPr>
          <t xml:space="preserve">7305 — Loyer minimum fixe
</t>
        </r>
        <r>
          <rPr>
            <b/>
            <sz val="9"/>
            <color rgb="FF000000"/>
            <rFont val="Arial"/>
            <family val="2"/>
          </rPr>
          <t>Montant fixe payé au propriétaire du bâtiment pour occuper les lieux.</t>
        </r>
      </text>
    </comment>
    <comment ref="C14" authorId="0" shapeId="0" xr:uid="{FD0EC5A9-4F88-E34E-8555-FB8CA35CFD29}">
      <text>
        <r>
          <rPr>
            <b/>
            <sz val="9"/>
            <color rgb="FF000000"/>
            <rFont val="Arial"/>
            <family val="2"/>
          </rPr>
          <t xml:space="preserve">Christian Latour :
</t>
        </r>
        <r>
          <rPr>
            <b/>
            <sz val="9"/>
            <color rgb="FF000000"/>
            <rFont val="Arial"/>
            <family val="2"/>
          </rPr>
          <t xml:space="preserve">7310 — Loyer - Variable
</t>
        </r>
        <r>
          <rPr>
            <b/>
            <sz val="9"/>
            <color rgb="FF000000"/>
            <rFont val="Arial"/>
            <family val="2"/>
          </rPr>
          <t>Pourcentage de votre chiffre d’affaires que vous devez payer au propriétaire du bâtiment pour occuper les lieux.</t>
        </r>
      </text>
    </comment>
    <comment ref="C15" authorId="0" shapeId="0" xr:uid="{B45EE39C-38AF-8A45-B0CD-14FF941546FC}">
      <text>
        <r>
          <rPr>
            <b/>
            <sz val="9"/>
            <color rgb="FF000000"/>
            <rFont val="Arial"/>
            <family val="2"/>
          </rPr>
          <t xml:space="preserve">Christian Latour :
</t>
        </r>
        <r>
          <rPr>
            <b/>
            <sz val="9"/>
            <color rgb="FF000000"/>
            <rFont val="Arial"/>
            <family val="2"/>
          </rPr>
          <t xml:space="preserve">7315 — Location - Terrain
</t>
        </r>
        <r>
          <rPr>
            <b/>
            <sz val="9"/>
            <color rgb="FF000000"/>
            <rFont val="Arial"/>
            <family val="2"/>
          </rPr>
          <t>Montant payé au propriétaire pour la location du terrain sur lequel est installé le bâtiment dans lequel vous exploitez votre restaurant.</t>
        </r>
      </text>
    </comment>
    <comment ref="C16" authorId="0" shapeId="0" xr:uid="{C3BD3356-0A73-DC46-87CD-26EFB0CBA8E6}">
      <text>
        <r>
          <rPr>
            <b/>
            <sz val="9"/>
            <color rgb="FF000000"/>
            <rFont val="Arial"/>
            <family val="2"/>
          </rPr>
          <t xml:space="preserve">Christian Latour :
</t>
        </r>
        <r>
          <rPr>
            <b/>
            <sz val="9"/>
            <color rgb="FF000000"/>
            <rFont val="Arial"/>
            <family val="2"/>
          </rPr>
          <t xml:space="preserve">7320 — Location d’équipement
</t>
        </r>
        <r>
          <rPr>
            <b/>
            <sz val="9"/>
            <color rgb="FF000000"/>
            <rFont val="Arial"/>
            <family val="2"/>
          </rPr>
          <t>Montant payé au propriétaire pour l’utilisation de certains équipements incorporés au bâtiment.</t>
        </r>
      </text>
    </comment>
    <comment ref="C17" authorId="0" shapeId="0" xr:uid="{59FA5D45-0453-7448-8219-51B835D94593}">
      <text>
        <r>
          <rPr>
            <b/>
            <sz val="9"/>
            <color indexed="81"/>
            <rFont val="Arial"/>
            <family val="2"/>
          </rPr>
          <t>Christian Latour :
7325 — Taxes foncières
Montant payé pour les taxes foncières.</t>
        </r>
      </text>
    </comment>
    <comment ref="C18" authorId="0" shapeId="0" xr:uid="{A67D4946-5129-A248-AB10-EB5D1BA5A083}">
      <text>
        <r>
          <rPr>
            <b/>
            <sz val="9"/>
            <color rgb="FF000000"/>
            <rFont val="Arial"/>
            <family val="2"/>
          </rPr>
          <t xml:space="preserve">Christian Latour :
</t>
        </r>
        <r>
          <rPr>
            <b/>
            <sz val="9"/>
            <color rgb="FF000000"/>
            <rFont val="Arial"/>
            <family val="2"/>
          </rPr>
          <t xml:space="preserve">7330 — Taxes pour l’usage de la propriété
</t>
        </r>
        <r>
          <rPr>
            <b/>
            <sz val="9"/>
            <color rgb="FF000000"/>
            <rFont val="Arial"/>
            <family val="2"/>
          </rPr>
          <t>Montant payé pour les taxes d’usage de la propriété (eau, ordures, etc.).</t>
        </r>
      </text>
    </comment>
    <comment ref="C19" authorId="0" shapeId="0" xr:uid="{41284A88-D48D-DE4D-8A72-026E68CF359D}">
      <text>
        <r>
          <rPr>
            <b/>
            <sz val="9"/>
            <color rgb="FF000000"/>
            <rFont val="Arial"/>
            <family val="2"/>
          </rPr>
          <t xml:space="preserve">Christian Latour :
</t>
        </r>
        <r>
          <rPr>
            <b/>
            <sz val="9"/>
            <color rgb="FF000000"/>
            <rFont val="Arial"/>
            <family val="2"/>
          </rPr>
          <t xml:space="preserve">7335 — Autres taxes municipales
</t>
        </r>
        <r>
          <rPr>
            <b/>
            <sz val="9"/>
            <color rgb="FF000000"/>
            <rFont val="Arial"/>
            <family val="2"/>
          </rPr>
          <t>Montant payé pour les autres taxes municipales.</t>
        </r>
      </text>
    </comment>
    <comment ref="C20" authorId="0" shapeId="0" xr:uid="{24F896E9-636A-1D40-AC46-17B68D203211}">
      <text>
        <r>
          <rPr>
            <b/>
            <sz val="9"/>
            <color rgb="FF000000"/>
            <rFont val="Arial"/>
            <family val="2"/>
          </rPr>
          <t xml:space="preserve">Christian Latour :
</t>
        </r>
        <r>
          <rPr>
            <b/>
            <sz val="9"/>
            <color rgb="FF000000"/>
            <rFont val="Arial"/>
            <family val="2"/>
          </rPr>
          <t xml:space="preserve">7340 — Redevance ou droit d’occupation 
</t>
        </r>
        <r>
          <rPr>
            <b/>
            <sz val="9"/>
            <color rgb="FF000000"/>
            <rFont val="Arial"/>
            <family val="2"/>
          </rPr>
          <t>Ce compte comptable est utilisé si vous êtes franchisé et que vous devez payer à votre franchiseur propriétaire du bâtiment un montant qui correspond à un pourcentage de votre chiffre d’affaires comme partie ou totalité de votre loyer.</t>
        </r>
      </text>
    </comment>
    <comment ref="C21" authorId="0" shapeId="0" xr:uid="{A053613D-F57C-8947-A06A-EA47BE52CB1C}">
      <text>
        <r>
          <rPr>
            <b/>
            <sz val="9"/>
            <color rgb="FF000000"/>
            <rFont val="Arial"/>
            <family val="2"/>
          </rPr>
          <t xml:space="preserve">Christian Latour :
</t>
        </r>
        <r>
          <rPr>
            <b/>
            <sz val="9"/>
            <color rgb="FF000000"/>
            <rFont val="Arial"/>
            <family val="2"/>
          </rPr>
          <t xml:space="preserve">7345 — Contribution régulière et occasionnelle pour la gestion et la maintenance de votre copropriété 
</t>
        </r>
        <r>
          <rPr>
            <b/>
            <sz val="9"/>
            <color rgb="FF000000"/>
            <rFont val="Arial"/>
            <family val="2"/>
          </rPr>
          <t>Ce compte comptable est utilisé, si vous êtes propriétaire du condo commercial dans lequel vous exploitez votre entreprise de restauration alimentaire, et qu’en conséquence vous êtes tenu de payer au syndicat de votre copropriété des contributions régulières ou occasionnelles pour un fonds de gestion, un fonds de prévoyance, et, etc.</t>
        </r>
      </text>
    </comment>
    <comment ref="C22" authorId="0" shapeId="0" xr:uid="{551E963E-4A97-1343-8132-0B829ADDF892}">
      <text>
        <r>
          <rPr>
            <b/>
            <sz val="9"/>
            <color rgb="FF000000"/>
            <rFont val="Arial"/>
            <family val="2"/>
          </rPr>
          <t xml:space="preserve">Christian Latour :
</t>
        </r>
        <r>
          <rPr>
            <b/>
            <sz val="9"/>
            <color rgb="FF000000"/>
            <rFont val="Arial"/>
            <family val="2"/>
          </rPr>
          <t xml:space="preserve">7350 — Association ou frais d’adhésion 
</t>
        </r>
        <r>
          <rPr>
            <b/>
            <sz val="9"/>
            <color rgb="FF000000"/>
            <rFont val="Arial"/>
            <family val="2"/>
          </rPr>
          <t>Ce compte est utilisé si vous devez payer des frais d’adhésion obligatoires à une association de marchand. C’est souvent le cas, par exemple, dans les centres commerciaux.</t>
        </r>
      </text>
    </comment>
    <comment ref="C23" authorId="0" shapeId="0" xr:uid="{DDDABEFE-1046-9044-8D71-20617486AE2D}">
      <text>
        <r>
          <rPr>
            <b/>
            <sz val="9"/>
            <color rgb="FF000000"/>
            <rFont val="Arial"/>
            <family val="2"/>
          </rPr>
          <t xml:space="preserve">Christian Latour :
</t>
        </r>
        <r>
          <rPr>
            <b/>
            <sz val="9"/>
            <color rgb="FF000000"/>
            <rFont val="Arial"/>
            <family val="2"/>
          </rPr>
          <t xml:space="preserve">7360 — Assurances — Bâtiment et contenu
</t>
        </r>
        <r>
          <rPr>
            <b/>
            <sz val="9"/>
            <color rgb="FF000000"/>
            <rFont val="Arial"/>
            <family val="2"/>
          </rPr>
          <t>Montant payé pour la couverture d’assurance du bâtiment dans lequel vous exploitez votre restaurant ainsi que pour l’assurance de son contenu.</t>
        </r>
      </text>
    </comment>
    <comment ref="C24" authorId="0" shapeId="0" xr:uid="{3E85B342-B388-A249-B0D3-F12CE560DA92}">
      <text>
        <r>
          <rPr>
            <b/>
            <sz val="9"/>
            <color rgb="FF000000"/>
            <rFont val="Arial"/>
            <family val="2"/>
          </rPr>
          <t xml:space="preserve">Christian Latour :
</t>
        </r>
        <r>
          <rPr>
            <b/>
            <sz val="9"/>
            <color rgb="FF000000"/>
            <rFont val="Arial"/>
            <family val="2"/>
          </rPr>
          <t xml:space="preserve">7399 — Autres coûts d’occupation
</t>
        </r>
        <r>
          <rPr>
            <b/>
            <sz val="9"/>
            <color rgb="FF000000"/>
            <rFont val="Arial"/>
            <family val="2"/>
          </rPr>
          <t>Autres montants payés pour l’occupation de votre espace de restaurant et qui n’est pas comptabilisé dans l’un des comptes précédents.</t>
        </r>
      </text>
    </comment>
    <comment ref="C26" authorId="0" shapeId="0" xr:uid="{6E3D5F18-252C-CC4C-8B32-F172ADEAB065}">
      <text>
        <r>
          <rPr>
            <sz val="10"/>
            <color rgb="FF000000"/>
            <rFont val="Arial"/>
            <family val="2"/>
          </rPr>
          <t xml:space="preserve">Christian Latour :
</t>
        </r>
        <r>
          <rPr>
            <sz val="10"/>
            <color rgb="FF000000"/>
            <rFont val="Arial"/>
            <family val="2"/>
          </rPr>
          <t xml:space="preserve">7300 — Coût d’occupation
</t>
        </r>
        <r>
          <rPr>
            <sz val="10"/>
            <color rgb="FF000000"/>
            <rFont val="Arial"/>
            <family val="2"/>
          </rPr>
          <t xml:space="preserve">Il s’agit du compte de contrôle dans lequel on additionne le total des coûts d’occupation.
</t>
        </r>
        <r>
          <rPr>
            <sz val="10"/>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7F833910-E4C5-1543-AAE8-94366385F50F}">
      <text>
        <r>
          <rPr>
            <b/>
            <sz val="9"/>
            <color rgb="FF000000"/>
            <rFont val="Arial"/>
            <family val="2"/>
          </rPr>
          <t xml:space="preserve">Christian Latour :
</t>
        </r>
        <r>
          <rPr>
            <b/>
            <sz val="9"/>
            <color rgb="FF000000"/>
            <rFont val="Arial"/>
            <family val="2"/>
          </rPr>
          <t xml:space="preserve">7402 — Uniformes
</t>
        </r>
        <r>
          <rPr>
            <b/>
            <sz val="9"/>
            <color rgb="FF000000"/>
            <rFont val="Arial"/>
            <family val="2"/>
          </rPr>
          <t>Montant dépensé pour l’achat de tabliers, de blouses, de casquettes, de costumes, de sarraus, de gants, de tailleurs, de cravates, de pantalons, de filets à cheveux, de souliers, d’insignes, et, etc.</t>
        </r>
      </text>
    </comment>
    <comment ref="C14" authorId="0" shapeId="0" xr:uid="{25DDB8F5-3043-3B4B-B9CC-7ACC12A7469D}">
      <text>
        <r>
          <rPr>
            <b/>
            <sz val="9"/>
            <color indexed="81"/>
            <rFont val="Arial"/>
            <family val="2"/>
          </rPr>
          <t>Christian Latour :
7404 — Buanderie et nettoyage à sec
Montant dépensé pour le nettoyage des tissus : uniformes, linges, nappes, serviettes de table, rideaux et tout autre article en tissu.</t>
        </r>
      </text>
    </comment>
    <comment ref="C15" authorId="0" shapeId="0" xr:uid="{002AFE5B-E3CB-AF4F-83BF-9B152E9B1645}">
      <text>
        <r>
          <rPr>
            <b/>
            <sz val="9"/>
            <color indexed="81"/>
            <rFont val="Arial"/>
            <family val="2"/>
          </rPr>
          <t>Christian Latour :
7406 — Location - Lingerie/tissus
Montant dépensé pour la location de la lingerie : linges, nappes, serviettes de table, rideaux et tout autre article en tissu excluant ce qui entre dans la catégorie « Uniformes ».</t>
        </r>
      </text>
    </comment>
    <comment ref="C16" authorId="0" shapeId="0" xr:uid="{75A62BDA-F6D4-7E4A-9145-5490B874C599}">
      <text>
        <r>
          <rPr>
            <b/>
            <sz val="9"/>
            <color indexed="81"/>
            <rFont val="Arial"/>
            <family val="2"/>
          </rPr>
          <t>Christian Latour :
7408 — Achats - Lingerie/tissus
Montant dépensé pour l’achat de lingerie : linges, nappes, serviettes de table, rideaux et tout autre article en tissu excluant ce qui entre dans la catégorie « Uniformes ».</t>
        </r>
      </text>
    </comment>
    <comment ref="C17" authorId="0" shapeId="0" xr:uid="{D0EB7873-336F-2943-93D6-7DF2BA25D8E8}">
      <text>
        <r>
          <rPr>
            <b/>
            <sz val="9"/>
            <color indexed="81"/>
            <rFont val="Arial"/>
            <family val="2"/>
          </rPr>
          <t>Christian Latour :
7410 — Accessoires de table 
Montant dépensé pour l’achat de porcelaines, d’assiettes, de tasses, de sous-tasses, de sauciers, de bols, de théières, de cafetières, de pichets, de verres à eau, de verres à vin, de verre à bière, de verres à « shooter », de gobelets, de sous-plats, de plats de service, de plats de présentation, de plateaux, de soupières, de chandeliers, de pièces décoratives, de seaux à vin, et, etc.</t>
        </r>
      </text>
    </comment>
    <comment ref="C18" authorId="0" shapeId="0" xr:uid="{7B5B63EF-D24A-CA45-900D-6E184076A4E2}">
      <text>
        <r>
          <rPr>
            <b/>
            <sz val="9"/>
            <color indexed="81"/>
            <rFont val="Arial"/>
            <family val="2"/>
          </rPr>
          <t>Christian Latour :
7412 — Accessoires de service
Montant dépensé pour l’achat de couteaux, de fourchettes, de cuillères, de louches, etc.</t>
        </r>
      </text>
    </comment>
    <comment ref="C19" authorId="0" shapeId="0" xr:uid="{2205EF5B-D61C-9047-A56A-2C5168A2DBB7}">
      <text>
        <r>
          <rPr>
            <b/>
            <sz val="9"/>
            <color indexed="81"/>
            <rFont val="Arial"/>
            <family val="2"/>
          </rPr>
          <t>Christian Latour :
7414 — Accessoires de cuisine
Montant dépensé pour l’achat de couteaux de cuisinier, de casseroles, de poêles, de bouilloires, de bols à mélanger, de fouets, de cuillères, d’ouvre-boîtes, d’aiguiseurs à couteaux, de petits outils et équipements, etc., et pour les coûts d’entretien des accessoires de cuisine si le coût est moindre que 100 $.</t>
        </r>
      </text>
    </comment>
    <comment ref="C20" authorId="0" shapeId="0" xr:uid="{80529C1B-40E0-E047-9A0F-C666FBDA6DA7}">
      <text>
        <r>
          <rPr>
            <b/>
            <sz val="9"/>
            <color indexed="81"/>
            <rFont val="Arial"/>
            <family val="2"/>
          </rPr>
          <t>Christian Latour :
7416 — Dépenses véhicules (livraison)
Ensemble des dépenses encourues pour les véhicules de livraison et pour la location de véhicules, s’il y a lieu.</t>
        </r>
      </text>
    </comment>
    <comment ref="C21" authorId="0" shapeId="0" xr:uid="{467BC8AE-4FBE-7B48-8D2E-5CB8CA09A332}">
      <text>
        <r>
          <rPr>
            <b/>
            <sz val="9"/>
            <color indexed="81"/>
            <rFont val="Arial"/>
            <family val="2"/>
          </rPr>
          <t>Christian Latour :
7418 — Fournitures d’entretien
Montant dépensé pour l’achat de nettoyants, de polissoirs, de savons, de détergents, de désinfectants, de produits chimiques, de déodorants, de balais et d’aspirateurs, de vadrouilles, de grattoirs, de torchons, de guenilles, de linges à poussière, de seaux et de chaudières, de chiffons, de laines d’acier, et, etc.</t>
        </r>
      </text>
    </comment>
    <comment ref="C22" authorId="0" shapeId="0" xr:uid="{C27EEACA-BD89-8645-B055-3A34603F76CA}">
      <text>
        <r>
          <rPr>
            <b/>
            <sz val="9"/>
            <color indexed="81"/>
            <rFont val="Arial"/>
            <family val="2"/>
          </rPr>
          <t>Christian Latour :
7420 — Fournitures de papiers
Montant dépensé pour l’achat de vaisselle en styromousse ou en carton, de napperons de papier réguliers et dentelés (« doilies »), de serviettes de table en papier, d’emballages pour livraison et pour emporter, de boîtes, de papier filtre, de papier ciré, de ficelle, de fil de nylon, et, etc.</t>
        </r>
      </text>
    </comment>
    <comment ref="C23" authorId="0" shapeId="0" xr:uid="{9B6C7CB9-96B1-EC45-A924-3C5DF992A66E}">
      <text>
        <r>
          <rPr>
            <b/>
            <sz val="9"/>
            <color indexed="81"/>
            <rFont val="Arial"/>
            <family val="2"/>
          </rPr>
          <t>Christian Latour :
7422 — Fournitures pour les invités/clients
Montant dépensé pour l’ensemble des fournitures utilisées pour le bénéfice des clients : allumettes, crayons, journaux quotidiens, magazione, cure-dents, présentoirs de cartes de crédit, et, etc.</t>
        </r>
      </text>
    </comment>
    <comment ref="C24" authorId="0" shapeId="0" xr:uid="{1CF1E8BA-B8A6-D34D-A72F-37824A2B6F10}">
      <text>
        <r>
          <rPr>
            <b/>
            <sz val="9"/>
            <color indexed="81"/>
            <rFont val="Arial"/>
            <family val="2"/>
          </rPr>
          <t>Christian Latour :
7424 — Fournitures de bar
Montant dépensé pour l’achat de limonadiers (tire-bouchons), de « shakers », de mélangeurs, d’ouvre-bouteilles, de cuillères, de presseurs à fruits, de décorations à verres de boissons, de souvenirs, de mesures à alcool, de couteaux, de pailles, de bouchons (« stoppers »), de pique-fruits, de cure-dents, et, etc.</t>
        </r>
      </text>
    </comment>
    <comment ref="C25" authorId="0" shapeId="0" xr:uid="{70360166-44C4-7B4E-87B9-5EA15B83E602}">
      <text>
        <r>
          <rPr>
            <b/>
            <sz val="9"/>
            <color indexed="81"/>
            <rFont val="Arial"/>
            <family val="2"/>
          </rPr>
          <t>Christian Latour :
7426 — Menus et cartes
Montant dépensé pour l’achat ou la production des menus réguliers ou du jour, des cartes des boissons, des cartes des desserts, des cartes des nouveautés, incluant les frais de graphisme, de coupe, d’impression, de papier, et, etc.</t>
        </r>
      </text>
    </comment>
    <comment ref="C26" authorId="0" shapeId="0" xr:uid="{0B7DDBBD-FC6A-7E47-9F7A-EF424F7DADF3}">
      <text>
        <r>
          <rPr>
            <b/>
            <sz val="9"/>
            <color indexed="81"/>
            <rFont val="Arial"/>
            <family val="2"/>
          </rPr>
          <t>Christian Latour :
7428 — Contrat d’entretien ménager
Montant dépensé pour l’entretien ménager (lavage de vitres) et, etc.</t>
        </r>
      </text>
    </comment>
    <comment ref="C27" authorId="0" shapeId="0" xr:uid="{47D64C38-B61E-FC41-9667-9CC1902F6002}">
      <text>
        <r>
          <rPr>
            <b/>
            <sz val="9"/>
            <color indexed="81"/>
            <rFont val="Arial"/>
            <family val="2"/>
          </rPr>
          <t>Christian Latour :
7430 — Services hygiène et salubrité
Montant dépensé pour l’hygiène et la salubrité (extermination, désinfection, traitement et contrôle des parasites) et,  etc.</t>
        </r>
      </text>
    </comment>
    <comment ref="C28" authorId="0" shapeId="0" xr:uid="{37F03919-E498-6D45-B1E0-A5990EF31FCD}">
      <text>
        <r>
          <rPr>
            <b/>
            <sz val="9"/>
            <color indexed="81"/>
            <rFont val="Arial"/>
            <family val="2"/>
          </rPr>
          <t>Christian Latour :
7432 — Décorations intérieures
Montant dépensé pour les fleurs, plantes, drapeaux, guirlandes, pièces décoratives, aquariums et pour les frais de designers, stylistes et décorateurs, et, etc.</t>
        </r>
      </text>
    </comment>
    <comment ref="C29" authorId="0" shapeId="0" xr:uid="{B1989D60-BF15-204B-8001-4F3856F9B956}">
      <text>
        <r>
          <rPr>
            <b/>
            <sz val="9"/>
            <color indexed="81"/>
            <rFont val="Arial"/>
            <family val="2"/>
          </rPr>
          <t>Christian Latour :
7436 — Stationnement — véhicules des clients
Montant dépensé pour la location d’un abri pour les véhicules (entretien, nettoyage, sécurité) et, etc.</t>
        </r>
      </text>
    </comment>
    <comment ref="C30" authorId="0" shapeId="0" xr:uid="{7B0EE8A1-7297-334A-B874-869CB80288AD}">
      <text>
        <r>
          <rPr>
            <b/>
            <sz val="9"/>
            <color indexed="81"/>
            <rFont val="Arial"/>
            <family val="2"/>
          </rPr>
          <t>Christian Latour :
7438 — Droits/permis d’exploitation
Montant dépensé pour les permis (MAPAQ, RACJQ), les permis spéciaux d’exploitations, les frais d’inspection, les licences, et, etc.</t>
        </r>
      </text>
    </comment>
    <comment ref="C31" authorId="0" shapeId="0" xr:uid="{F2B972FB-9153-BB49-A6C2-2EB9FE0C5CE2}">
      <text>
        <r>
          <rPr>
            <b/>
            <sz val="9"/>
            <color indexed="81"/>
            <rFont val="Arial"/>
            <family val="2"/>
          </rPr>
          <t>Christian Latour :
7440 — Frais de banquet
Montant dépensé pour la location de chaises, d’équipements de banquet, de tables froides, de tables chaudes, de tables de réchauffement, et, etc.</t>
        </r>
      </text>
    </comment>
    <comment ref="C32" authorId="0" shapeId="0" xr:uid="{7B07AE1C-0887-B14F-8AEF-9E000BF49F78}">
      <text>
        <r>
          <rPr>
            <b/>
            <sz val="9"/>
            <color indexed="81"/>
            <rFont val="Arial"/>
            <family val="2"/>
          </rPr>
          <t>Christian Latour :
7499 — Autres dépenses d’exploitation
Autres dépenses directement reliées au service à la clientèle (perte ou dommage à des effets appartenant aux clients) et, etc.</t>
        </r>
      </text>
    </comment>
    <comment ref="C34" authorId="0" shapeId="0" xr:uid="{A6B01D88-D8DA-124E-867D-112E0857C96C}">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7400 — Coût direct d’exploitation
</t>
        </r>
        <r>
          <rPr>
            <b/>
            <sz val="10"/>
            <color rgb="FF000000"/>
            <rFont val="Arial"/>
            <family val="2"/>
          </rPr>
          <t>Il s’agit du compte de contrôle dans lequel on additionne le total des coûts directs d’exploitation.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4574BE53-FD12-DF4D-A73D-C0915A0898BF}">
      <text>
        <r>
          <rPr>
            <b/>
            <sz val="9"/>
            <color indexed="81"/>
            <rFont val="Arial"/>
            <family val="2"/>
          </rPr>
          <t>Christian Latour:
7505 — Musiciens et animateur
Montant payé pour les services de musiciens, DJ ou autres animateurs).</t>
        </r>
      </text>
    </comment>
    <comment ref="C14" authorId="0" shapeId="0" xr:uid="{2E628E87-2AFF-1E45-8502-795079479EBB}">
      <text>
        <r>
          <rPr>
            <b/>
            <sz val="9"/>
            <color indexed="81"/>
            <rFont val="Arial"/>
            <family val="2"/>
          </rPr>
          <t>Christian Latour:
7510 — « Divertisseurs » professionnel
Montant payé pour les services des acrobates, animateurs, clowns, danseurs, prestidigitateurs et autres amuseurs.</t>
        </r>
      </text>
    </comment>
    <comment ref="C15" authorId="0" shapeId="0" xr:uid="{65E133B1-109C-9944-ADB2-D9127202B48E}">
      <text>
        <r>
          <rPr>
            <b/>
            <sz val="9"/>
            <color rgb="FF000000"/>
            <rFont val="Arial"/>
            <family val="2"/>
          </rPr>
          <t xml:space="preserve">Christian Latour:
</t>
        </r>
        <r>
          <rPr>
            <b/>
            <sz val="9"/>
            <color rgb="FF000000"/>
            <rFont val="Arial"/>
            <family val="2"/>
          </rPr>
          <t xml:space="preserve">7520 — Musique d’ambiance 
</t>
        </r>
        <r>
          <rPr>
            <b/>
            <sz val="9"/>
            <color rgb="FF000000"/>
            <rFont val="Arial"/>
            <family val="2"/>
          </rPr>
          <t>Montant payé pour les CD, les DVD, les MP3, la programmation, et, etc.</t>
        </r>
      </text>
    </comment>
    <comment ref="C16" authorId="0" shapeId="0" xr:uid="{A4AFCF87-91A4-4744-B5AB-A0A5F46764B1}">
      <text>
        <r>
          <rPr>
            <b/>
            <sz val="9"/>
            <color indexed="81"/>
            <rFont val="Arial"/>
            <family val="2"/>
          </rPr>
          <t>Christian Latour:
7525 — Service de musique câblée
Montant payé pour le service de câble, les services offerts par les fournisseurs de musique d’ambiance, et, etc.</t>
        </r>
        <r>
          <rPr>
            <sz val="9"/>
            <color indexed="81"/>
            <rFont val="Arial"/>
            <family val="2"/>
          </rPr>
          <t xml:space="preserve">
</t>
        </r>
      </text>
    </comment>
    <comment ref="C17" authorId="0" shapeId="0" xr:uid="{ACECCE5C-C443-A64E-A03E-49761A987017}">
      <text>
        <r>
          <rPr>
            <b/>
            <sz val="9"/>
            <color indexed="81"/>
            <rFont val="Arial"/>
            <family val="2"/>
          </rPr>
          <t>Christian Latour:
7530 — Location de piano et autres instruments et réglage (tuning)
Montant payé pour la location d’un piano ou d’un autre instrument de musique incluant l’entretien et les ajustements périodiques.</t>
        </r>
      </text>
    </comment>
    <comment ref="C18" authorId="0" shapeId="0" xr:uid="{B0456CB0-D79E-0140-999A-A39D90F00A1C}">
      <text>
        <r>
          <rPr>
            <b/>
            <sz val="9"/>
            <color indexed="81"/>
            <rFont val="Arial"/>
            <family val="2"/>
          </rPr>
          <t>Christian Latour:
7535 — Soutien matériel aux musiciens
Montant payé pour les films, enregistrements, cassettes, feuilles de musique et autre matériel nécessaire aux musiciens et/ou aux animateurs.</t>
        </r>
      </text>
    </comment>
    <comment ref="C19" authorId="0" shapeId="0" xr:uid="{4C705C2B-07CE-C447-BEE0-023FC82A7236}">
      <text>
        <r>
          <rPr>
            <b/>
            <sz val="9"/>
            <color indexed="81"/>
            <rFont val="Arial"/>
            <family val="2"/>
          </rPr>
          <t>Christian Latour:</t>
        </r>
        <r>
          <rPr>
            <sz val="9"/>
            <color indexed="81"/>
            <rFont val="Arial"/>
            <family val="2"/>
          </rPr>
          <t xml:space="preserve">
</t>
        </r>
        <r>
          <rPr>
            <b/>
            <sz val="9"/>
            <color indexed="81"/>
            <rFont val="Arial"/>
            <family val="2"/>
          </rPr>
          <t>7550 — Redevances à la SOCAN
Montant payé pour les droits de diffusion de la musique dans un endroit public.</t>
        </r>
      </text>
    </comment>
    <comment ref="C20" authorId="0" shapeId="0" xr:uid="{C7409FB5-7BBF-7D4D-9616-0BBFCB5ECD6C}">
      <text>
        <r>
          <rPr>
            <b/>
            <sz val="9"/>
            <color indexed="81"/>
            <rFont val="Arial"/>
            <family val="2"/>
          </rPr>
          <t>Christian Latour:
7555 — Frais d’agent d’artiste
Montant payé aux agents d’artistes pour les prestations des artistes..</t>
        </r>
      </text>
    </comment>
    <comment ref="C21" authorId="0" shapeId="0" xr:uid="{4EF9407F-F122-2B43-942A-1F37FC67D12F}">
      <text>
        <r>
          <rPr>
            <b/>
            <sz val="9"/>
            <color rgb="FF000000"/>
            <rFont val="Arial"/>
            <family val="2"/>
          </rPr>
          <t xml:space="preserve">Christian Latour:
</t>
        </r>
        <r>
          <rPr>
            <b/>
            <sz val="9"/>
            <color rgb="FF000000"/>
            <rFont val="Arial"/>
            <family val="2"/>
          </rPr>
          <t xml:space="preserve">7560 — Repas des musiciens et autres animateurs
</t>
        </r>
        <r>
          <rPr>
            <b/>
            <sz val="9"/>
            <color rgb="FF000000"/>
            <rFont val="Arial"/>
            <family val="2"/>
          </rPr>
          <t>Montant payé pour les repas des musiciens et autres animateurs et leurs accompagnateurs.</t>
        </r>
      </text>
    </comment>
    <comment ref="C22" authorId="0" shapeId="0" xr:uid="{342968A4-ED78-694E-997F-A498D3704068}">
      <text>
        <r>
          <rPr>
            <b/>
            <sz val="9"/>
            <color indexed="81"/>
            <rFont val="Arial"/>
            <family val="2"/>
          </rPr>
          <t>Christian Latour:</t>
        </r>
        <r>
          <rPr>
            <sz val="9"/>
            <color indexed="81"/>
            <rFont val="Arial"/>
            <family val="2"/>
          </rPr>
          <t xml:space="preserve">
</t>
        </r>
        <r>
          <rPr>
            <b/>
            <sz val="9"/>
            <color indexed="81"/>
            <rFont val="Arial"/>
            <family val="2"/>
          </rPr>
          <t>7599 — Autres coûts associés à Musique &amp; Divertissement
Autre montant payé, pour assurer les services de musique et divertissement de l’établissement, qui n’est pas directement affecté à un compte spécifique déjà établi.</t>
        </r>
        <r>
          <rPr>
            <sz val="9"/>
            <color indexed="81"/>
            <rFont val="Arial"/>
            <family val="2"/>
          </rPr>
          <t xml:space="preserve">
</t>
        </r>
      </text>
    </comment>
    <comment ref="C24" authorId="0" shapeId="0" xr:uid="{6AFCF27C-51F9-284C-A6E3-3F2425FB3EEE}">
      <text>
        <r>
          <rPr>
            <b/>
            <sz val="10"/>
            <color indexed="81"/>
            <rFont val="Arial"/>
            <family val="2"/>
          </rPr>
          <t xml:space="preserve">
Christian Latour
7500 — Musique &amp; Divertissement
Il s’agit du compte de contrôle dans lequel on additionne le total des coûts d’occupation.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652D110F-8091-DD47-8ABD-9E225246EF42}">
      <text>
        <r>
          <rPr>
            <b/>
            <sz val="9"/>
            <color indexed="81"/>
            <rFont val="Arial"/>
            <family val="2"/>
          </rPr>
          <t>Christian Latour :
7610 — Recherche marketing
Ensemble des coûts nécessaires pour mener à bien les différentes activités de recherches marketing de l’entreprise.</t>
        </r>
      </text>
    </comment>
    <comment ref="C14" authorId="0" shapeId="0" xr:uid="{66B401EB-A7B6-6740-A402-DA8B484A8E90}">
      <text>
        <r>
          <rPr>
            <b/>
            <sz val="9"/>
            <color indexed="81"/>
            <rFont val="Arial"/>
            <family val="2"/>
          </rPr>
          <t>Christian Latour:
7615 — Recherche &amp; Développement de nouveaux produits
Ensemble des coûts nécessaires pour mener à bien l’activité « Recherches &amp; Développement » qui est une des 9 activités clés des entreprises de restauration alimentaire.
On comptabilise entre autres dans ce compte les coûts encourus pour : la création, le développement et la production de nouveaux plats dans le but de les ajouter sur la carte nourriture de l’entreprise, les coûts relatifs à l’étude et à la dégustation de différents produits boissons dans le but de les ajouter sur la carte des boissons de l’entreprise, les coûts des visites d’observation dans des entreprises de restauration alimentaire concurrente, les coûts des voyages effectués à des fins de recherche (pour du matériel, des équipements, des produits, et, etc.), et, etc.</t>
        </r>
      </text>
    </comment>
    <comment ref="C15" authorId="0" shapeId="0" xr:uid="{55E5367A-89B3-F440-BC40-479034563B3C}">
      <text>
        <r>
          <rPr>
            <b/>
            <sz val="9"/>
            <color indexed="81"/>
            <rFont val="Arial"/>
            <family val="2"/>
          </rPr>
          <t>Christian Latour :
7620 — Publicité
Ensemble des coûts nécessaires pour la création, la production, la diffusion des messages publicitaires par l’entremise soient de la télévision, la radio, la presse écrite, l’affichage, le cinéma, internet, et, etc.</t>
        </r>
      </text>
    </comment>
    <comment ref="C16" authorId="0" shapeId="0" xr:uid="{725F5907-A2B5-964F-9A9E-21196E27529A}">
      <text>
        <r>
          <rPr>
            <b/>
            <sz val="9"/>
            <color indexed="81"/>
            <rFont val="Arial"/>
            <family val="2"/>
          </rPr>
          <t>Christian Latour :
7630 — Relations publiques
Ensemble des coûts nécessaires pour établir et assurer des relations d’affaires durables avec les différents publics de l’entreprise.
On comptabilise entre autres dans ce compte les coûts encourus pour : les frais de déplacement, les honoraires professionnels payés pour la création d’un communiqué de presse, et, etc.</t>
        </r>
      </text>
    </comment>
    <comment ref="C17" authorId="0" shapeId="0" xr:uid="{F2902655-48D8-AC48-80FF-D9E3CC704274}">
      <text>
        <r>
          <rPr>
            <b/>
            <sz val="9"/>
            <color indexed="81"/>
            <rFont val="Arial"/>
            <family val="2"/>
          </rPr>
          <t>Christian Latour:
7640 — Ventes directes
Ensemble des coûts nécessaires pour assurer la vente directe par l’entremise de représentants.
On comptabilise entre autres dans ce compte les coûts encourus pour : les rémunérations des représentants, les frais de déplacement, les frais de postes et messageries, les coûts associés aux télécommunications, et, etc.</t>
        </r>
      </text>
    </comment>
    <comment ref="C18" authorId="0" shapeId="0" xr:uid="{4DB5FC5B-AD68-2E4E-BA0D-42465BF3037C}">
      <text>
        <r>
          <rPr>
            <b/>
            <sz val="9"/>
            <color indexed="81"/>
            <rFont val="Arial"/>
            <family val="2"/>
          </rPr>
          <t>Christian Latour :
7650 — Promotion
Ensemble des coûts nécessaires pour assurer la promotion de l’établissement et de ses différents produits et services.
On comptabilise entre autres dans ce compte les coûts encourus pour : la nourriture et la boisson offertes gratuitement aux clients par la maison, les coûts d’achat et/ou de production pour les cadeaux promotionnels offerts aux clients, les coûts payés pour inscrire le nom de l’entreprise ou son logo sur le matériel de l’entreprise (les verres, les assiettes, et, etc.), et, etc.</t>
        </r>
      </text>
    </comment>
    <comment ref="C19" authorId="0" shapeId="0" xr:uid="{35796CEB-2BF0-924A-ABF4-F69D8F6889AD}">
      <text>
        <r>
          <rPr>
            <b/>
            <sz val="9"/>
            <color indexed="81"/>
            <rFont val="Arial"/>
            <family val="2"/>
          </rPr>
          <t>Christian Latour :
7660 — Marketing direct
Ensemble des coûts nécessaires pour assurer une communication directe et personnalisée avec des consommateurs ciblés individuellement.
On comptabilise entre autres dans ce compte les coûts encourus pour : la collecte et l’exploitation dans une base de données des informations individuelles, les coûts encourus pour la création, la production et la diffusion de message personnalisé (par la poste, par « mailing » ou autrement), et, etc.</t>
        </r>
      </text>
    </comment>
    <comment ref="C20" authorId="0" shapeId="0" xr:uid="{EDF54505-B3B1-C840-80F9-2DB06503B6C3}">
      <text>
        <r>
          <rPr>
            <b/>
            <sz val="9"/>
            <color indexed="81"/>
            <rFont val="Arial"/>
            <family val="2"/>
          </rPr>
          <t>Christian Latour :
7670 — Commandite
Ensemble des coûts nécessaires pour faire ce qu’il y a faire en matière de commandite.
On comptabilise entre autres dans ce compte les coûts encourus pour : les dons à des œuvres de charité, les commandites d’athlète ou d’équipes sportives, et, etc.</t>
        </r>
      </text>
    </comment>
    <comment ref="C21" authorId="0" shapeId="0" xr:uid="{10F7996C-5B39-7444-A2A4-0AAAB6971AE7}">
      <text>
        <r>
          <rPr>
            <b/>
            <sz val="9"/>
            <color indexed="81"/>
            <rFont val="Arial"/>
            <family val="2"/>
          </rPr>
          <t>Christian Latour :
7680 — Placement de produit
Ensemble des coûts nécessaires pour assurer l’intégration d’un produit ou de la marque de commerce dans une émission de télévision, un film, une pièce de théâtre, un vidéoclip, un livre, et, etc. avec en tête les intentions de la communication marketing.</t>
        </r>
      </text>
    </comment>
    <comment ref="C22" authorId="0" shapeId="0" xr:uid="{BAB6893B-0202-0644-82C5-F3AF5304A63A}">
      <text>
        <r>
          <rPr>
            <b/>
            <sz val="9"/>
            <color indexed="81"/>
            <rFont val="Arial"/>
            <family val="2"/>
          </rPr>
          <t>Christian Latour :
7690 — Communication événementielle
Ensemble des coûts nécessaires pour assurer la planification, l’organisation et la mise en œuvre des différents événements promotionnels de l’entreprise.
On comptabilise entre autres dans ce compte les coûts encourus pour : les honoraires payés à une agence spécialisée en organisation d’événement, la création, la production et la diffusion d’invitation à un événement, l’animation et l’animation artistique lors d’un événement, la location d’équipement e/ou de matériel, la location de personnel, et, etc.</t>
        </r>
      </text>
    </comment>
    <comment ref="C23" authorId="0" shapeId="0" xr:uid="{4205B179-FD8D-3341-A0AE-E6766F88B854}">
      <text>
        <r>
          <rPr>
            <b/>
            <sz val="9"/>
            <color indexed="81"/>
            <rFont val="Arial"/>
            <family val="2"/>
          </rPr>
          <t>Christian Latour :
7699 — Autres coûts 
Ensemble des coûts encourus afin d’assurer le marketing et les communications marketing d’une entreprise de restauration alimentaire et qui ne peut pas être directement comptabilisé dans les comptes précédents.</t>
        </r>
      </text>
    </comment>
    <comment ref="C25" authorId="0" shapeId="0" xr:uid="{2E92BF89-85CE-3247-89BC-A1752AC06DA5}">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D80EBE94-2EA9-3644-BCAB-CF149BC9C6FD}">
      <text>
        <r>
          <rPr>
            <b/>
            <sz val="9"/>
            <color indexed="81"/>
            <rFont val="Arial"/>
            <family val="2"/>
          </rPr>
          <t>Christian Latour:
7705 — Électricité
Montant payé pour l’utilisation de l’électricité.</t>
        </r>
      </text>
    </comment>
    <comment ref="C14" authorId="0" shapeId="0" xr:uid="{901295E1-532B-8842-92C9-C4EBA48D64F2}">
      <text>
        <r>
          <rPr>
            <b/>
            <sz val="9"/>
            <color rgb="FF000000"/>
            <rFont val="Arial"/>
            <family val="2"/>
          </rPr>
          <t xml:space="preserve">Christian Latour:
</t>
        </r>
        <r>
          <rPr>
            <b/>
            <sz val="9"/>
            <color rgb="FF000000"/>
            <rFont val="Arial"/>
            <family val="2"/>
          </rPr>
          <t xml:space="preserve">7710 — Accessoires électriques
</t>
        </r>
        <r>
          <rPr>
            <b/>
            <sz val="9"/>
            <color rgb="FF000000"/>
            <rFont val="Arial"/>
            <family val="2"/>
          </rPr>
          <t>Montant payé pour le remplacement des ampoules, des néons ainsi que des autres petits accessoires électriques.</t>
        </r>
      </text>
    </comment>
    <comment ref="C15" authorId="0" shapeId="0" xr:uid="{B6595C54-A44F-584D-A181-9A45D85C9ACF}">
      <text>
        <r>
          <rPr>
            <b/>
            <sz val="9"/>
            <color rgb="FF000000"/>
            <rFont val="Arial"/>
            <family val="2"/>
          </rPr>
          <t xml:space="preserve">Christian Latour:
</t>
        </r>
        <r>
          <rPr>
            <b/>
            <sz val="9"/>
            <color rgb="FF000000"/>
            <rFont val="Arial"/>
            <family val="2"/>
          </rPr>
          <t xml:space="preserve">715 — Eau et glace
</t>
        </r>
        <r>
          <rPr>
            <b/>
            <sz val="9"/>
            <color rgb="FF000000"/>
            <rFont val="Arial"/>
            <family val="2"/>
          </rPr>
          <t>Montant payé pour l’utilisation de l’eau incluant les coûts nécessaires pour en assurer la purification. Montant payé pour l’achat ou la fabrication de la glace, des accessoires pour sa manipulation ainsi que pour l’utilisation et l’entretien des machines à glace. Le montant d’achat de glace pour les sculptures de glaces devrait également être inclus dans le compte.</t>
        </r>
      </text>
    </comment>
    <comment ref="C16" authorId="0" shapeId="0" xr:uid="{3A33816A-9868-2D46-A0D2-869131316F03}">
      <text>
        <r>
          <rPr>
            <b/>
            <sz val="9"/>
            <color indexed="81"/>
            <rFont val="Arial"/>
            <family val="2"/>
          </rPr>
          <t>Christian Latour:
7720 — Enlèvement des ordures
Montant payé pour la gestion et l’enlèvement des ordures incluant le coût de location d’un contenant à ordure, le coût de location d’un incinérateur, etc.</t>
        </r>
        <r>
          <rPr>
            <sz val="9"/>
            <color indexed="81"/>
            <rFont val="Arial"/>
            <family val="2"/>
          </rPr>
          <t xml:space="preserve">
</t>
        </r>
      </text>
    </comment>
    <comment ref="C17" authorId="0" shapeId="0" xr:uid="{B31B58D2-079D-554D-9CF0-D9628D1A0CBB}">
      <text>
        <r>
          <rPr>
            <b/>
            <sz val="9"/>
            <color indexed="81"/>
            <rFont val="Arial"/>
            <family val="2"/>
          </rPr>
          <t>Christian Latour:
7725 — Autres énergies
Montant payé pour l’utilisation des autres énergies incluant les coûts reliés à l’utilisation du gaz ou de l’huile.</t>
        </r>
      </text>
    </comment>
    <comment ref="C18" authorId="0" shapeId="0" xr:uid="{8E849AD7-3F51-D543-981C-85C9B3A7684A}">
      <text>
        <r>
          <rPr>
            <b/>
            <sz val="9"/>
            <color indexed="81"/>
            <rFont val="Arial"/>
            <family val="2"/>
          </rPr>
          <t>Christian Latour:
7730 — Fournitures de mécanique et d’électricité
Montant payé pour l’utilisation des huiles, fusibles, graisses, solvants et petits outils utilisés pour les opérations de maintenance, et, etc.</t>
        </r>
      </text>
    </comment>
    <comment ref="C19" authorId="0" shapeId="0" xr:uid="{895D00CD-F6E8-1447-9574-3C9FE226F8A1}">
      <text>
        <r>
          <rPr>
            <b/>
            <sz val="9"/>
            <color indexed="81"/>
            <rFont val="Arial"/>
            <family val="2"/>
          </rPr>
          <t>Christian Latour:</t>
        </r>
        <r>
          <rPr>
            <sz val="9"/>
            <color indexed="81"/>
            <rFont val="Arial"/>
            <family val="2"/>
          </rPr>
          <t xml:space="preserve">
</t>
        </r>
        <r>
          <rPr>
            <b/>
            <sz val="9"/>
            <color indexed="81"/>
            <rFont val="Arial"/>
            <family val="2"/>
          </rPr>
          <t>7790 — Revenus de recyclage
Montant reçu pour les articles ou déchets recyclés et pour lesquels on a obtenu une compensation en argent. Les inscriptions dans ce compte doivent être faites au crédit plutôt qu’au débit. Le montant inscrit dans ce compte a donc pour effet de diminuer le montant total dépensé pour les services publics.</t>
        </r>
      </text>
    </comment>
    <comment ref="C20" authorId="0" shapeId="0" xr:uid="{3E51584A-F024-C94D-BF1F-6B4F3AC9251F}">
      <text>
        <r>
          <rPr>
            <b/>
            <sz val="9"/>
            <color indexed="81"/>
            <rFont val="Arial"/>
            <family val="2"/>
          </rPr>
          <t>Christian Latour:
795 — Reventes de services utilitaires 
Montant reçu pour la vente d’électricité, glace, eau ou de tout autre élément contenu dans la section « Services publics » à un locataire, à un concessionnaire ou à n’importe quel autre acheteur. Les inscriptions dans ce compte doivent être faites au crédit plutôt qu’au débit. Le montant inscrit dans ce compte a donc pour effet de diminuer le montant total dépensé pour les services publics.</t>
        </r>
      </text>
    </comment>
    <comment ref="C21" authorId="0" shapeId="0" xr:uid="{C0201617-42C5-1C41-90E8-1888E3D00388}">
      <text>
        <r>
          <rPr>
            <b/>
            <sz val="9"/>
            <color indexed="81"/>
            <rFont val="Arial"/>
            <family val="2"/>
          </rPr>
          <t>Christian Latour:</t>
        </r>
        <r>
          <rPr>
            <sz val="9"/>
            <color indexed="81"/>
            <rFont val="Arial"/>
            <family val="2"/>
          </rPr>
          <t xml:space="preserve">
</t>
        </r>
        <r>
          <rPr>
            <b/>
            <sz val="9"/>
            <color indexed="81"/>
            <rFont val="Arial"/>
            <family val="2"/>
          </rPr>
          <t>7799 — Autres coûts associés aux services publics
Autres montants payés pour les services publics qui n’est pas comptabilisé dans l’un des comptes précédents.</t>
        </r>
      </text>
    </comment>
    <comment ref="C23" authorId="0" shapeId="0" xr:uid="{69C9F9B2-51A9-3D43-83B6-CF57A5877F37}">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7700 — Services publics
</t>
        </r>
        <r>
          <rPr>
            <b/>
            <sz val="10"/>
            <color rgb="FF000000"/>
            <rFont val="Arial"/>
            <family val="2"/>
          </rPr>
          <t>Il s’agit du compte de contrôle dans lequel on additionne le total des coûts de la catégorie services publics.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FC698E9C-9DF8-774B-B25E-6EA2F0FF23AF}">
      <text>
        <r>
          <rPr>
            <b/>
            <sz val="9"/>
            <color indexed="81"/>
            <rFont val="Arial"/>
            <family val="2"/>
          </rPr>
          <t>Christian Latour :
7805 - Fournitures de bureau et impression
Montant payé pour les impressions des documents comptables, les autres fournitures de bureau telles que trombones, papiers, stylos et autres fournitures utilisées pour la facturation et l’encaissement des transactions (factures, papiers à lettres, enveloppes, et, etc.).</t>
        </r>
      </text>
    </comment>
    <comment ref="C14" authorId="0" shapeId="0" xr:uid="{D3D5FF01-25DE-2640-A2D0-B4870F49B623}">
      <text>
        <r>
          <rPr>
            <b/>
            <sz val="9"/>
            <color indexed="81"/>
            <rFont val="Arial"/>
            <family val="2"/>
          </rPr>
          <t>Christian Latour :
7810 - Traitement de données
Montant payé pour le traitement électronique de l’information tel que le service de préparation de la paye lorsqu’il est effectué à l’extérieur de l’entreprise par une firme spécialisée. On comptabilise également dans ce compte l’amortissement des différents logiciels qui sont utilisés pour le traitement de l’information (traitement de texte, chiffrier électronique, logiciel de comptabilité, et, etc.).</t>
        </r>
      </text>
    </comment>
    <comment ref="C15" authorId="0" shapeId="0" xr:uid="{DA3339C5-17E3-4C4A-BA58-0065800625CE}">
      <text>
        <r>
          <rPr>
            <b/>
            <sz val="9"/>
            <color indexed="81"/>
            <rFont val="Arial"/>
            <family val="2"/>
          </rPr>
          <t>Christian Latour :
7815 - Poste et messagerie
Montant payé pour les frais de timbres, de poste et de messagerie qui ne sont pas reliés aux activités de marketing.</t>
        </r>
      </text>
    </comment>
    <comment ref="C16" authorId="0" shapeId="0" xr:uid="{7925C742-52BA-DD4A-83F9-AF370DF3829B}">
      <text>
        <r>
          <rPr>
            <b/>
            <sz val="9"/>
            <color indexed="81"/>
            <rFont val="Arial"/>
            <family val="2"/>
          </rPr>
          <t>Christian Latour :
7820 - Télécommunications
Montant payé pour la location de l’équipement téléphonique, la ligne locale et les appels interurbains, exception faite des montants qui peuvent être attribués directement aux activités de marketing. Les services utilitaires tels que les téléavertisseurs et les cellulaires sont également comptabilisés dans ce compte.</t>
        </r>
      </text>
    </comment>
    <comment ref="C17" authorId="0" shapeId="0" xr:uid="{A1649918-C98F-9A40-B8CB-2CFF34D5D70A}">
      <text>
        <r>
          <rPr>
            <b/>
            <sz val="9"/>
            <color indexed="81"/>
            <rFont val="Arial"/>
            <family val="2"/>
          </rPr>
          <t>Christian Latour :
7825 - Associations, droits et cotisations
Montant payé pour l’abonnement à des associations telles que l’Association des restaurateurs du Québec (ARQ), la chambre de commerce, et, etc. On comptabilise également dans cette section le coût des abonnements à des journaux et magazines spécialisés qui sont utilisés par les gestionnaires et le personnel.</t>
        </r>
      </text>
    </comment>
    <comment ref="C18" authorId="0" shapeId="0" xr:uid="{805304EB-F9D5-6940-84DD-3102AE20ACBE}">
      <text>
        <r>
          <rPr>
            <b/>
            <sz val="9"/>
            <color indexed="81"/>
            <rFont val="Arial"/>
            <family val="2"/>
          </rPr>
          <t>Christian Latour :
7830 - Déplacement
Montant payé pour le transport des gérants et des gestionnaires lorsqu’ils se déplacent dans le cadre de leur fonction. Si les déplacements sont effectués dans le contexte des activités de marketing, les dépenses sont alors inscrites dans le compte 7603 - Déplacements.</t>
        </r>
      </text>
    </comment>
    <comment ref="C19" authorId="0" shapeId="0" xr:uid="{BCC2447A-5E18-494A-8D42-9D2CE694044A}">
      <text>
        <r>
          <rPr>
            <b/>
            <sz val="9"/>
            <color indexed="81"/>
            <rFont val="Arial"/>
            <family val="2"/>
          </rPr>
          <t>Christian Latour :
7835 - Assurances générales
Montant payé pour les assurances qui couvrent, notamment, vol, fraude, vandalisme, falsification, bris d’équipement, assurance-vie des dirigeants, et, etc. Les assurances qui sont pour le bénéfice des employés doivent être comptabilisés dans la section 7200. Pour ce qui est des assurances incendie et couverture étendue, les montants doivent être comptabilisés dans le compte 7370.</t>
        </r>
      </text>
    </comment>
    <comment ref="C20" authorId="0" shapeId="0" xr:uid="{400B979A-4AF6-EE4D-A945-C13DE6C5F087}">
      <text>
        <r>
          <rPr>
            <b/>
            <sz val="9"/>
            <color indexed="81"/>
            <rFont val="Arial"/>
            <family val="2"/>
          </rPr>
          <t>Christian Latour :
7840 - Frais d’escompte sur les cartes de crédit
Montant payé aux compagnies émettrices de cartes de crédit pour la gestion et le remboursement des transactions effectuées par carte de crédit.</t>
        </r>
      </text>
    </comment>
    <comment ref="C21" authorId="0" shapeId="0" xr:uid="{E778BBBB-96BA-FD4D-9752-AF661C9E345F}">
      <text>
        <r>
          <rPr>
            <b/>
            <sz val="9"/>
            <color indexed="81"/>
            <rFont val="Arial"/>
            <family val="2"/>
          </rPr>
          <t xml:space="preserve">Christian Latour :
7845 - Provision pour mauvaises créances
Montant payé pour le recouvrement de mauvaises créances.
</t>
        </r>
      </text>
    </comment>
    <comment ref="C22" authorId="0" shapeId="0" xr:uid="{DF5FCDC4-01C3-9449-B401-7C94CD869F5C}">
      <text>
        <r>
          <rPr>
            <b/>
            <sz val="9"/>
            <color indexed="81"/>
            <rFont val="Arial"/>
            <family val="2"/>
          </rPr>
          <t xml:space="preserve">Christian Latour :
7850 - Déficit et surplus de caisse
Montant reçu en trop ou en moins compte tenu des transactions réellement réalisées par l’entreprise.
</t>
        </r>
      </text>
    </comment>
    <comment ref="C23" authorId="0" shapeId="0" xr:uid="{93B9F501-C3BE-F344-96EB-17F6BA91CC69}">
      <text>
        <r>
          <rPr>
            <b/>
            <sz val="9"/>
            <color rgb="FF000000"/>
            <rFont val="Arial"/>
            <family val="2"/>
          </rPr>
          <t xml:space="preserve">Christian Latour :
</t>
        </r>
        <r>
          <rPr>
            <b/>
            <sz val="9"/>
            <color rgb="FF000000"/>
            <rFont val="Arial"/>
            <family val="2"/>
          </rPr>
          <t xml:space="preserve">7855 - Honoraires professionnels
</t>
        </r>
        <r>
          <rPr>
            <b/>
            <sz val="9"/>
            <color rgb="FF000000"/>
            <rFont val="Arial"/>
            <family val="2"/>
          </rPr>
          <t>Montant payé pour les services professionnels des comptables, avocats, notaires, ingénieurs, consultants, et, etc. Les honoraires encourus pour le recouvrement des mauvaises créances doivent être toutefois comptabilisés dans le compte 7845.</t>
        </r>
      </text>
    </comment>
    <comment ref="C24" authorId="0" shapeId="0" xr:uid="{C8929493-CB73-BB43-BCBF-FF29884F13FC}">
      <text>
        <r>
          <rPr>
            <b/>
            <sz val="9"/>
            <color indexed="81"/>
            <rFont val="Arial"/>
            <family val="2"/>
          </rPr>
          <t>Christian Latour :
7860 - Services de protection/sécurité
Montant payé pour assurer la protection de l’établissement (garde de sécurité, système d’alarme contre le feu et le vol, collecte des dépôts par camion blindé, et, etc.).</t>
        </r>
      </text>
    </comment>
    <comment ref="C25" authorId="0" shapeId="0" xr:uid="{A21CB3EB-E417-FC4D-92D5-6320799386E5}">
      <text>
        <r>
          <rPr>
            <b/>
            <sz val="9"/>
            <color indexed="81"/>
            <rFont val="Arial"/>
            <family val="2"/>
          </rPr>
          <t>Christian Latour :
7865 - Intérêts et frais bancaires
Montant payé pour les intérêts et autres services bancaires tels que la location d’un coffre à la banque, et, etc.</t>
        </r>
      </text>
    </comment>
    <comment ref="C26" authorId="0" shapeId="0" xr:uid="{B139906D-FC25-A149-8C4B-B15CDA184EE3}">
      <text>
        <r>
          <rPr>
            <b/>
            <sz val="9"/>
            <color indexed="81"/>
            <rFont val="Arial"/>
            <family val="2"/>
          </rPr>
          <t>Christian Latour :
7880 - Redevances/droits de franchise
Montant payé à un franchiseur en contrepartie des différents services offerts par celui-ci.</t>
        </r>
      </text>
    </comment>
    <comment ref="C27" authorId="0" shapeId="0" xr:uid="{EBDAA972-9240-4E40-8DAE-6FDF6F2B9510}">
      <text>
        <r>
          <rPr>
            <b/>
            <sz val="9"/>
            <color indexed="81"/>
            <rFont val="Arial"/>
            <family val="2"/>
          </rPr>
          <t>Christian Latour :
7899 - Autres
Autre montant payé afin d’assurer l’administration d’une entreprise de restauration alimentaire et qui ne peut pas être directement comptabilisé dans les comptes précédents.</t>
        </r>
      </text>
    </comment>
    <comment ref="C29" authorId="0" shapeId="0" xr:uid="{27F6E983-AE9F-E748-97A5-B298E327AA8A}">
      <text>
        <r>
          <rPr>
            <b/>
            <sz val="10"/>
            <color indexed="81"/>
            <rFont val="Arial"/>
            <family val="2"/>
          </rPr>
          <t xml:space="preserve">
Christian Latour
7800 - Administration &amp; autres frais généraux
Il s’agit du compte de contrôle dans lequel on additionne le total des coûts d’administration &amp; autres frais généraux.</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52BD4F72-8E06-DB42-97D6-0D614D1ACF91}">
      <text>
        <r>
          <rPr>
            <b/>
            <sz val="9"/>
            <color indexed="81"/>
            <rFont val="Arial"/>
            <family val="2"/>
          </rPr>
          <t>Christian Latour :
7902 — Ameublements et agencements
Montant payé pour assurer l’entretien et les réparations de l’ameublement.</t>
        </r>
      </text>
    </comment>
    <comment ref="C14" authorId="0" shapeId="0" xr:uid="{E8533336-3C9D-F648-B38B-8B122AAE9B61}">
      <text>
        <r>
          <rPr>
            <b/>
            <sz val="9"/>
            <color indexed="81"/>
            <rFont val="Arial"/>
            <family val="2"/>
          </rPr>
          <t>Christian Latour :
7904 — Équipement de cuisine
Montant payé pour assurer l’entretien et les réparations des équipements de cuisine.</t>
        </r>
      </text>
    </comment>
    <comment ref="C15" authorId="0" shapeId="0" xr:uid="{FC14E292-6F7D-C345-80A5-85B32C575D35}">
      <text>
        <r>
          <rPr>
            <b/>
            <sz val="9"/>
            <color indexed="81"/>
            <rFont val="Arial"/>
            <family val="2"/>
          </rPr>
          <t>Christian Latour :
7906 — Équipement de bureau
Montant payé pour assurer l’entretien et les réparations des équipements de bureau.</t>
        </r>
      </text>
    </comment>
    <comment ref="C16" authorId="0" shapeId="0" xr:uid="{B8157270-3D08-8845-840A-0DE3C93AD1F1}">
      <text>
        <r>
          <rPr>
            <b/>
            <sz val="9"/>
            <color rgb="FF000000"/>
            <rFont val="Arial"/>
            <family val="2"/>
          </rPr>
          <t xml:space="preserve">Christian Latour :
</t>
        </r>
        <r>
          <rPr>
            <b/>
            <sz val="9"/>
            <color rgb="FF000000"/>
            <rFont val="Arial"/>
            <family val="2"/>
          </rPr>
          <t xml:space="preserve">7908 — Réfrigération
</t>
        </r>
        <r>
          <rPr>
            <b/>
            <sz val="9"/>
            <color rgb="FF000000"/>
            <rFont val="Arial"/>
            <family val="2"/>
          </rPr>
          <t>Montant payé pour assurer l’entretien et les réparations des équipements de réfrigération.</t>
        </r>
      </text>
    </comment>
    <comment ref="C17" authorId="0" shapeId="0" xr:uid="{5CD839C1-3E17-3844-BBD9-AD951FCC368B}">
      <text>
        <r>
          <rPr>
            <b/>
            <sz val="9"/>
            <color rgb="FF000000"/>
            <rFont val="Arial"/>
            <family val="2"/>
          </rPr>
          <t xml:space="preserve">Christian Latour :
</t>
        </r>
        <r>
          <rPr>
            <b/>
            <sz val="9"/>
            <color rgb="FF000000"/>
            <rFont val="Arial"/>
            <family val="2"/>
          </rPr>
          <t xml:space="preserve">7910 — Air climatisé
</t>
        </r>
        <r>
          <rPr>
            <b/>
            <sz val="9"/>
            <color rgb="FF000000"/>
            <rFont val="Arial"/>
            <family val="2"/>
          </rPr>
          <t>Montant payé pour assurer l’entretien et les réparations des équipements de climatisation.</t>
        </r>
      </text>
    </comment>
    <comment ref="C18" authorId="0" shapeId="0" xr:uid="{6D482C17-9DB9-5847-B120-51B5ABD26629}">
      <text>
        <r>
          <rPr>
            <b/>
            <sz val="9"/>
            <color indexed="81"/>
            <rFont val="Arial"/>
            <family val="2"/>
          </rPr>
          <t>Christian Latour :
7912 — Plomberie et chauffage
Montant payé pour assurer l’entretien et les réparations des installations de plomberie et de chauffage.</t>
        </r>
      </text>
    </comment>
    <comment ref="C19" authorId="0" shapeId="0" xr:uid="{5FAFBE42-4780-8548-ADC8-DF0C79646D96}">
      <text>
        <r>
          <rPr>
            <b/>
            <sz val="9"/>
            <color indexed="81"/>
            <rFont val="Arial"/>
            <family val="2"/>
          </rPr>
          <t>Christian Latour :
7914 — Électricité et mécanique
Montant payé pour assurer l’entretien et les réparations des systèmes électriques et mécaniques tels que les ascenseurs et les monte-charges, et, etc.</t>
        </r>
      </text>
    </comment>
    <comment ref="C20" authorId="0" shapeId="0" xr:uid="{0B293E38-0108-FC4E-BD3B-B61B700669AF}">
      <text>
        <r>
          <rPr>
            <b/>
            <sz val="9"/>
            <color rgb="FF000000"/>
            <rFont val="Arial"/>
            <family val="2"/>
          </rPr>
          <t xml:space="preserve">Christian Latour :
</t>
        </r>
        <r>
          <rPr>
            <b/>
            <sz val="9"/>
            <color rgb="FF000000"/>
            <rFont val="Arial"/>
            <family val="2"/>
          </rPr>
          <t xml:space="preserve">7916 — Plancher et tapis
</t>
        </r>
        <r>
          <rPr>
            <b/>
            <sz val="9"/>
            <color rgb="FF000000"/>
            <rFont val="Arial"/>
            <family val="2"/>
          </rPr>
          <t>Montant payé pour assurer l’entretien et les réparations des planchers et couvre-planchers.</t>
        </r>
      </text>
    </comment>
    <comment ref="C21" authorId="0" shapeId="0" xr:uid="{DB790416-533C-794C-94CF-2C3472EC18CB}">
      <text>
        <r>
          <rPr>
            <b/>
            <sz val="9"/>
            <color indexed="81"/>
            <rFont val="Arial"/>
            <family val="2"/>
          </rPr>
          <t xml:space="preserve">Christian Latour :
7918 — Immeuble/bâtiment
Montant payé pour assurer l’entretien et les réparations de l’immeuble.
</t>
        </r>
      </text>
    </comment>
    <comment ref="C22" authorId="0" shapeId="0" xr:uid="{2A39FFA4-9D7B-EE46-8D5E-7287E9CDB732}">
      <text>
        <r>
          <rPr>
            <b/>
            <sz val="9"/>
            <color indexed="81"/>
            <rFont val="Arial"/>
            <family val="2"/>
          </rPr>
          <t>Christian Latour :
7920 — Stationnement
Montant payé pour assurer l’entretien et les réparations des stationnements.</t>
        </r>
      </text>
    </comment>
    <comment ref="C23" authorId="0" shapeId="0" xr:uid="{1BE2F646-E015-694C-AB24-CF38F732EEB1}">
      <text>
        <r>
          <rPr>
            <b/>
            <sz val="9"/>
            <color indexed="81"/>
            <rFont val="Arial"/>
            <family val="2"/>
          </rPr>
          <t>Christian Latour :
7922 — Terrassement et entretien des terrassements
Montant payé pour le terrassement et l’entretien des terrassements.</t>
        </r>
      </text>
    </comment>
    <comment ref="C24" authorId="0" shapeId="0" xr:uid="{84FA4E70-C414-324D-AE4A-10EF94BE4996}">
      <text>
        <r>
          <rPr>
            <b/>
            <sz val="9"/>
            <color indexed="81"/>
            <rFont val="Arial"/>
            <family val="2"/>
          </rPr>
          <t>Christian Latour :
7924 — Altération immobilière/bâtiment
Montant payé dans le but d’apporter des modifications au bâtiment par exemple l’ajout d’une rampe pour handicapés.</t>
        </r>
      </text>
    </comment>
    <comment ref="C25" authorId="0" shapeId="0" xr:uid="{463019C6-762C-8441-BEE6-0E661444D674}">
      <text>
        <r>
          <rPr>
            <b/>
            <sz val="9"/>
            <color rgb="FF000000"/>
            <rFont val="Arial"/>
            <family val="2"/>
          </rPr>
          <t xml:space="preserve">Christian Latour :
</t>
        </r>
        <r>
          <rPr>
            <b/>
            <sz val="9"/>
            <color rgb="FF000000"/>
            <rFont val="Arial"/>
            <family val="2"/>
          </rPr>
          <t xml:space="preserve">7928 — Peinture, recouvrement et décoration
</t>
        </r>
        <r>
          <rPr>
            <b/>
            <sz val="9"/>
            <color rgb="FF000000"/>
            <rFont val="Arial"/>
            <family val="2"/>
          </rPr>
          <t xml:space="preserve">Montant payé pour assurer l’entretien des murs et plafonds (peinture, plâtre, stuco, et, etc.).
</t>
        </r>
        <r>
          <rPr>
            <b/>
            <sz val="9"/>
            <color rgb="FF000000"/>
            <rFont val="Arial"/>
            <family val="2"/>
          </rPr>
          <t xml:space="preserve">
</t>
        </r>
      </text>
    </comment>
    <comment ref="C26" authorId="0" shapeId="0" xr:uid="{54DFA4DF-5E71-3640-8395-D4386B3EF808}">
      <text>
        <r>
          <rPr>
            <b/>
            <sz val="9"/>
            <color rgb="FF000000"/>
            <rFont val="Arial"/>
            <family val="2"/>
          </rPr>
          <t xml:space="preserve">Christian Latour :
</t>
        </r>
        <r>
          <rPr>
            <b/>
            <sz val="9"/>
            <color rgb="FF000000"/>
            <rFont val="Arial"/>
            <family val="2"/>
          </rPr>
          <t xml:space="preserve">7990 — Contrat de service d’entretien
</t>
        </r>
        <r>
          <rPr>
            <b/>
            <sz val="9"/>
            <color rgb="FF000000"/>
            <rFont val="Arial"/>
            <family val="2"/>
          </rPr>
          <t xml:space="preserve">Montant payé pour les contrats d’entretien des ascenseurs, enseignes lumineuses, autres équipements, et, etc.
</t>
        </r>
        <r>
          <rPr>
            <b/>
            <sz val="9"/>
            <color rgb="FF000000"/>
            <rFont val="Arial"/>
            <family val="2"/>
          </rPr>
          <t xml:space="preserve">
</t>
        </r>
      </text>
    </comment>
    <comment ref="C27" authorId="0" shapeId="0" xr:uid="{B6BB5509-EF7F-2445-9F42-C055EAFFD80F}">
      <text>
        <r>
          <rPr>
            <b/>
            <sz val="9"/>
            <color rgb="FF000000"/>
            <rFont val="Arial"/>
            <family val="2"/>
          </rPr>
          <t xml:space="preserve">Christian Latour :
</t>
        </r>
        <r>
          <rPr>
            <b/>
            <sz val="9"/>
            <color rgb="FF000000"/>
            <rFont val="Arial"/>
            <family val="2"/>
          </rPr>
          <t xml:space="preserve">7996 - Matériel roulant
</t>
        </r>
        <r>
          <rPr>
            <b/>
            <sz val="9"/>
            <color rgb="FF000000"/>
            <rFont val="Arial"/>
            <family val="2"/>
          </rPr>
          <t>Montant payé pour assurer l’entretien et les réparations des voitures, camions et autres engins roulants utilisés par l’entreprise.</t>
        </r>
      </text>
    </comment>
    <comment ref="C28" authorId="0" shapeId="0" xr:uid="{405C5DDC-783C-5E44-9C6C-000FD9BF9375}">
      <text>
        <r>
          <rPr>
            <b/>
            <sz val="9"/>
            <color indexed="81"/>
            <rFont val="Arial"/>
            <family val="2"/>
          </rPr>
          <t>Christian Latour :
7998 — Équipements et fournitures
Montant payé notamment pour assurer l’entretien et les réparations des rideaux, draperies, tapisseries, et, etc.</t>
        </r>
      </text>
    </comment>
    <comment ref="C29" authorId="0" shapeId="0" xr:uid="{FEC1FFFF-0F52-AD48-B500-3A0F16BBC581}">
      <text>
        <r>
          <rPr>
            <b/>
            <sz val="9"/>
            <color indexed="81"/>
            <rFont val="Arial"/>
            <family val="2"/>
          </rPr>
          <t>Christian Latour :
7999 — Autres
Autres montants payés pour l’entretien et les réparations et qui ne sont pas comptabilisés dans l’un des comptes précédents.</t>
        </r>
      </text>
    </comment>
    <comment ref="C31" authorId="0" shapeId="0" xr:uid="{F7E50AF9-2BE8-7D47-B656-F57584F71F3A}">
      <text>
        <r>
          <rPr>
            <b/>
            <sz val="10"/>
            <color indexed="81"/>
            <rFont val="Arial"/>
            <family val="2"/>
          </rPr>
          <t xml:space="preserve">
Christian Latour
7900 — Entretien et réparations
Il s’agit du compte de contrôle dans lequel on additionne le total des coûts entretien et réparation.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24" authorId="0" shapeId="0" xr:uid="{5AD0E3C6-A228-6849-A94F-1E6F959157C0}">
      <text>
        <r>
          <rPr>
            <b/>
            <sz val="10"/>
            <color rgb="FF000000"/>
            <rFont val="Arial"/>
            <family val="2"/>
          </rPr>
          <t xml:space="preserve">Christian Latour :
</t>
        </r>
        <r>
          <rPr>
            <b/>
            <sz val="10"/>
            <color rgb="FF000000"/>
            <rFont val="Arial"/>
            <family val="2"/>
          </rPr>
          <t xml:space="preserve">7600 — Marketing &amp; Communication marketing
</t>
        </r>
        <r>
          <rPr>
            <b/>
            <sz val="10"/>
            <color rgb="FF000000"/>
            <rFont val="Arial"/>
            <family val="2"/>
          </rPr>
          <t>Il s’agit du compte de contrôle dans lequel on additionne le total des coûts encourus pour l’ensemble des activités relatif au marketing et à la communication marketing.</t>
        </r>
        <r>
          <rPr>
            <sz val="10"/>
            <color rgb="FF000000"/>
            <rFont val="Arial"/>
            <family val="2"/>
          </rPr>
          <t xml:space="preserve">
</t>
        </r>
        <r>
          <rPr>
            <sz val="10"/>
            <color rgb="FF000000"/>
            <rFont val="Arial"/>
            <family val="2"/>
          </rPr>
          <t xml:space="preserve">
</t>
        </r>
      </text>
    </comment>
  </commentList>
</comments>
</file>

<file path=xl/sharedStrings.xml><?xml version="1.0" encoding="utf-8"?>
<sst xmlns="http://schemas.openxmlformats.org/spreadsheetml/2006/main" count="2108" uniqueCount="387">
  <si>
    <t>CADRAN NUMÉRO 1</t>
  </si>
  <si>
    <t>Lundi</t>
  </si>
  <si>
    <t xml:space="preserve"> </t>
  </si>
  <si>
    <t>6 h à 9 h 30</t>
  </si>
  <si>
    <t>9 h 30 à 11 h 30</t>
  </si>
  <si>
    <t>11 h 30 à 14 h 30</t>
  </si>
  <si>
    <t>14 h 30 à 17 h</t>
  </si>
  <si>
    <t>17 h à 19 h</t>
  </si>
  <si>
    <t>19 h à 23 h</t>
  </si>
  <si>
    <t>23 h à 6 h</t>
  </si>
  <si>
    <t>Total</t>
  </si>
  <si>
    <t>Mardi</t>
  </si>
  <si>
    <t>Mercredi</t>
  </si>
  <si>
    <t>Jeudi</t>
  </si>
  <si>
    <t>Vendredi</t>
  </si>
  <si>
    <t>Samedi</t>
  </si>
  <si>
    <t>Dimanche</t>
  </si>
  <si>
    <t>CADRAN NUMÉRO 2</t>
  </si>
  <si>
    <t>CADRAN NUMÉRO 3</t>
  </si>
  <si>
    <t>CADRAN NUMÉRO 4</t>
  </si>
  <si>
    <t>CADRAN NUMÉRO 5</t>
  </si>
  <si>
    <t>CADRAN NUMÉRO 6</t>
  </si>
  <si>
    <t>(A) / Mois</t>
  </si>
  <si>
    <t>(A)  / année</t>
  </si>
  <si>
    <t>Total contrôle</t>
  </si>
  <si>
    <t>Pér.04</t>
  </si>
  <si>
    <t>NB de place</t>
  </si>
  <si>
    <t>NB de jour</t>
  </si>
  <si>
    <t>NB de jour / mois</t>
  </si>
  <si>
    <t>NB de jour / Exploitation</t>
  </si>
  <si>
    <t>Année</t>
  </si>
  <si>
    <t>Pér.01</t>
    <phoneticPr fontId="0" type="noConversion"/>
  </si>
  <si>
    <t>Pér.02</t>
    <phoneticPr fontId="0" type="noConversion"/>
  </si>
  <si>
    <t>Pér.03</t>
    <phoneticPr fontId="0" type="noConversion"/>
  </si>
  <si>
    <t>Pér.05</t>
    <phoneticPr fontId="0" type="noConversion"/>
  </si>
  <si>
    <t>Pér.06</t>
    <phoneticPr fontId="0" type="noConversion"/>
  </si>
  <si>
    <t>Pér.07</t>
    <phoneticPr fontId="0" type="noConversion"/>
  </si>
  <si>
    <t>Pér.08</t>
    <phoneticPr fontId="0" type="noConversion"/>
  </si>
  <si>
    <t>Pér.09</t>
    <phoneticPr fontId="0" type="noConversion"/>
  </si>
  <si>
    <t>Pér.10</t>
    <phoneticPr fontId="0" type="noConversion"/>
  </si>
  <si>
    <t>Pér.11</t>
    <phoneticPr fontId="0" type="noConversion"/>
  </si>
  <si>
    <t>Pér.12</t>
    <phoneticPr fontId="0" type="noConversion"/>
  </si>
  <si>
    <t>[</t>
  </si>
  <si>
    <t>]</t>
  </si>
  <si>
    <t>=</t>
  </si>
  <si>
    <t>x</t>
  </si>
  <si>
    <t>(</t>
  </si>
  <si>
    <t>Um/A</t>
  </si>
  <si>
    <t>PmO</t>
  </si>
  <si>
    <t>)</t>
  </si>
  <si>
    <t>A</t>
  </si>
  <si>
    <t>Achalandage  Mois et Année</t>
  </si>
  <si>
    <t>Courbe de vente</t>
  </si>
  <si>
    <t>NB de client par place par jour</t>
  </si>
  <si>
    <t>Taux d'occupation en %</t>
  </si>
  <si>
    <t>Janvier 2021</t>
  </si>
  <si>
    <t>Février 2021</t>
  </si>
  <si>
    <t>Mars 2021</t>
  </si>
  <si>
    <t>Avril 2021</t>
  </si>
  <si>
    <t>Mai 2021</t>
  </si>
  <si>
    <t>Juin 2021</t>
  </si>
  <si>
    <t>Juillet 2021</t>
  </si>
  <si>
    <t>Août 2021</t>
  </si>
  <si>
    <t>Septembre 2021</t>
  </si>
  <si>
    <t>Octobre 2021</t>
  </si>
  <si>
    <t>Novembre 2021</t>
  </si>
  <si>
    <t>Décembre 2021</t>
  </si>
  <si>
    <t>1 fev 2021</t>
  </si>
  <si>
    <t>28 fev 2021</t>
  </si>
  <si>
    <t>2 fev 2021</t>
  </si>
  <si>
    <t>3 fev 2021</t>
  </si>
  <si>
    <t>4 fev 2021</t>
  </si>
  <si>
    <t>5 fev 2021</t>
  </si>
  <si>
    <t>6 fev 2021</t>
  </si>
  <si>
    <t>7 fev 2021</t>
  </si>
  <si>
    <t>8 fev 2021</t>
  </si>
  <si>
    <t>9 fev 2021</t>
  </si>
  <si>
    <t>10 fev 2021</t>
  </si>
  <si>
    <t>11 fev 2021</t>
  </si>
  <si>
    <t>12 fev 2021</t>
  </si>
  <si>
    <t>13 fev 2021</t>
  </si>
  <si>
    <t>14 fev 2021</t>
  </si>
  <si>
    <t>15 fev 2021</t>
  </si>
  <si>
    <t>16 fev 2021</t>
  </si>
  <si>
    <t>17 fev 2021</t>
  </si>
  <si>
    <t>18 fev 2021</t>
  </si>
  <si>
    <t>19 fev 2021</t>
  </si>
  <si>
    <t>20 fev 2021</t>
  </si>
  <si>
    <t>21 fev 2021</t>
  </si>
  <si>
    <t>22 fev 2021</t>
  </si>
  <si>
    <t>23 fev 2021</t>
  </si>
  <si>
    <t>24 fev 2021</t>
  </si>
  <si>
    <t>25 fev 2021</t>
  </si>
  <si>
    <t>26 fev 2021</t>
  </si>
  <si>
    <t>27 fev 2021</t>
  </si>
  <si>
    <t>1 dec 2021</t>
  </si>
  <si>
    <t>2 dec 2021</t>
  </si>
  <si>
    <t>3 dec 2021</t>
  </si>
  <si>
    <t>4 dec 2021</t>
  </si>
  <si>
    <t>5 dec 2021</t>
  </si>
  <si>
    <t>6 dec 2021</t>
  </si>
  <si>
    <t>7 dec 2021</t>
  </si>
  <si>
    <t>8 dec 2021</t>
  </si>
  <si>
    <t>9 dec 2021</t>
  </si>
  <si>
    <t>10 dec 2021</t>
  </si>
  <si>
    <t>11 dec 2021</t>
  </si>
  <si>
    <t>12 dec 2021</t>
  </si>
  <si>
    <t>13 dec 2021</t>
  </si>
  <si>
    <t>14 dec 2021</t>
  </si>
  <si>
    <t>15 dec 2021</t>
  </si>
  <si>
    <t>16 dec 2021</t>
  </si>
  <si>
    <t>17 dec 2021</t>
  </si>
  <si>
    <t>18 dec 2021</t>
  </si>
  <si>
    <t>19 dec 2021</t>
  </si>
  <si>
    <t>20 dec 2021</t>
  </si>
  <si>
    <t>21 dec 2021</t>
  </si>
  <si>
    <t>22 dec 2021</t>
  </si>
  <si>
    <t>23 dec 2021</t>
  </si>
  <si>
    <t>24 dec 2021</t>
  </si>
  <si>
    <t>25 dec 2021</t>
  </si>
  <si>
    <t>26 dec 2021</t>
  </si>
  <si>
    <t>27 dec 2021</t>
  </si>
  <si>
    <t>28 dec 2021</t>
  </si>
  <si>
    <t>29 dec 2021</t>
  </si>
  <si>
    <t>30 dec 2021</t>
  </si>
  <si>
    <t>31 dec 2021</t>
  </si>
  <si>
    <t xml:space="preserve">  </t>
  </si>
  <si>
    <t>Dm/A = la demande moyenne par acheteur [la demande moyenne par acheteur (Dm/A) est souvent nommée par les différends utilisateurs, la facture moyenne par client (Fm/C)]</t>
  </si>
  <si>
    <t>PmO = le prix moyen des produits offerts sur la carte de l’entreprise durant cette période</t>
  </si>
  <si>
    <t>Um/A = le nombre moyen d’unités de produits achetés par les acheteurs durant cette période </t>
  </si>
  <si>
    <t>A = le nombre d’acheteurs durant cette période (l’achalandage) </t>
  </si>
  <si>
    <t>D = la demande totale des acheteurs pour une période donnée, ce qui correspond aux revenus d’une entreprise de restauration alimentaire pour une période donnée</t>
  </si>
  <si>
    <t>Dm/A</t>
  </si>
  <si>
    <t>D</t>
  </si>
  <si>
    <t>Nb de places</t>
  </si>
  <si>
    <t>Rev. / place / jour</t>
  </si>
  <si>
    <t>Restaurant Moyen avec service complet</t>
  </si>
  <si>
    <t>365 jours</t>
  </si>
  <si>
    <t>Revenus annuels par place</t>
  </si>
  <si>
    <t>(%)</t>
  </si>
  <si>
    <t>Revenus</t>
  </si>
  <si>
    <t>Janvier</t>
  </si>
  <si>
    <t xml:space="preserve"> </t>
    <phoneticPr fontId="0" type="noConversion"/>
  </si>
  <si>
    <t>Février</t>
  </si>
  <si>
    <t>Mars</t>
  </si>
  <si>
    <t>Avril</t>
  </si>
  <si>
    <t xml:space="preserve">   Total des revenus</t>
  </si>
  <si>
    <t>Mai</t>
  </si>
  <si>
    <t>Juin</t>
  </si>
  <si>
    <t>Juillet</t>
  </si>
  <si>
    <t>Août</t>
  </si>
  <si>
    <t xml:space="preserve">Coût de la main-d’œuvre </t>
  </si>
  <si>
    <t>Septembre</t>
  </si>
  <si>
    <t>Octobre</t>
  </si>
  <si>
    <t xml:space="preserve">Novembre </t>
  </si>
  <si>
    <t xml:space="preserve">   Total des coûts de la main-d’œuvre</t>
  </si>
  <si>
    <t>Décembre</t>
  </si>
  <si>
    <t xml:space="preserve">   « Prime Cost »</t>
  </si>
  <si>
    <t>Moyenne</t>
  </si>
  <si>
    <t xml:space="preserve">   Marge bénéficiaire brute</t>
  </si>
  <si>
    <t xml:space="preserve">   Bénéfices nets avant frais financiers, amort. et impôt </t>
  </si>
  <si>
    <t xml:space="preserve">BÉNÉFICE NET AVANT IMPÔT </t>
    <phoneticPr fontId="0" type="noConversion"/>
  </si>
  <si>
    <t xml:space="preserve">BÉNÉFICE NET </t>
  </si>
  <si>
    <t>Taux d'imposition</t>
  </si>
  <si>
    <t xml:space="preserve">États des résultats prévisionnels </t>
  </si>
  <si>
    <t>Pour la période du 1er janvier 2021 au 31 décembre 2021</t>
  </si>
  <si>
    <t>Demande mensuelle</t>
  </si>
  <si>
    <t>Achalandage annuelle</t>
  </si>
  <si>
    <t>Achalandage mensuel</t>
  </si>
  <si>
    <t>En utilisant la formule de base on comprend que : D ÷ A = (Um/A x PmO) et D ÷ A = Dm/A</t>
  </si>
  <si>
    <t>Boissons</t>
  </si>
  <si>
    <t>Nourritures</t>
  </si>
  <si>
    <t>Produits et services complémentaires</t>
  </si>
  <si>
    <t>Coût / place / jour</t>
  </si>
  <si>
    <t xml:space="preserve"> . Coût de la nourritures utilisées « Food Cost »</t>
  </si>
  <si>
    <t xml:space="preserve"> . Coût de la boissons utilisées « Beverage Cost »</t>
  </si>
  <si>
    <t xml:space="preserve">   Total des coûts d’exploitation</t>
  </si>
  <si>
    <t xml:space="preserve"> Nourriture</t>
  </si>
  <si>
    <t xml:space="preserve"> Boisson</t>
  </si>
  <si>
    <t xml:space="preserve"> Autres revenus</t>
  </si>
  <si>
    <t xml:space="preserve"> Coût d’occupation </t>
  </si>
  <si>
    <t xml:space="preserve"> Coût direct d’exploitation </t>
  </si>
  <si>
    <t xml:space="preserve"> Musique &amp; Divertissement </t>
  </si>
  <si>
    <t xml:space="preserve"> Marketing &amp; Communication marketing</t>
  </si>
  <si>
    <t xml:space="preserve"> Services publics </t>
  </si>
  <si>
    <t xml:space="preserve"> Administration &amp; Frais généraux </t>
  </si>
  <si>
    <t xml:space="preserve"> Entretien &amp; Réparations </t>
  </si>
  <si>
    <t xml:space="preserve"> Frais financiers</t>
  </si>
  <si>
    <t xml:space="preserve"> Amortissement</t>
  </si>
  <si>
    <t xml:space="preserve"> Impôts </t>
  </si>
  <si>
    <t xml:space="preserve"> Total des salaires</t>
  </si>
  <si>
    <t xml:space="preserve"> Total des bénéfices aux employées</t>
  </si>
  <si>
    <t>Coût des produits vendus</t>
  </si>
  <si>
    <t>Coût des ressources nourritures et boissons utilisées</t>
  </si>
  <si>
    <t>Revenus - Coût des produits vendus</t>
  </si>
  <si>
    <t>Coût des produits vendus par place</t>
  </si>
  <si>
    <t>T</t>
  </si>
  <si>
    <t>Coût de la main d'oeuvre par place</t>
  </si>
  <si>
    <t>Coût de la main d'œuvre par place</t>
  </si>
  <si>
    <t>Salaires</t>
  </si>
  <si>
    <t>Salaires "Management"</t>
  </si>
  <si>
    <t>Salaire "Production"</t>
  </si>
  <si>
    <t>Salaire "Vente et service"</t>
  </si>
  <si>
    <t>Salaire "Approvisionnement"</t>
  </si>
  <si>
    <t>Salaire "Finance &amp; Comptabilité"</t>
  </si>
  <si>
    <t>Salaire "Marketing &amp; Communication"</t>
  </si>
  <si>
    <t>Salaire "Théâtralisation"</t>
  </si>
  <si>
    <t>Salaire "R&amp;D"</t>
  </si>
  <si>
    <t>Salaire "Autres"</t>
  </si>
  <si>
    <t>Total des salaires</t>
  </si>
  <si>
    <t>Bénéfices aux employés</t>
  </si>
  <si>
    <t>Bénéfices gouvernementaux</t>
  </si>
  <si>
    <t>Assurance groupe</t>
  </si>
  <si>
    <t>Plan de pension</t>
  </si>
  <si>
    <t>CSST et CNT</t>
  </si>
  <si>
    <t>Formation</t>
  </si>
  <si>
    <t>Bien-être des employés</t>
  </si>
  <si>
    <t>6270 à 6295</t>
  </si>
  <si>
    <t>Autres</t>
  </si>
  <si>
    <t>Total des bénéfices aux employés</t>
  </si>
  <si>
    <t>Total des salaires Management</t>
  </si>
  <si>
    <t>Total des salaires Production</t>
  </si>
  <si>
    <t>Total des salaires Vente &amp; Service</t>
  </si>
  <si>
    <t>Total des salaires Approvisionnement</t>
  </si>
  <si>
    <t>Total des salaires Finance &amp; Comptabilité</t>
  </si>
  <si>
    <t>Total des salaires Marketing &amp; Communication</t>
  </si>
  <si>
    <t>Total des salaires Théâtralisation</t>
  </si>
  <si>
    <t>Total des salaires R&amp;D</t>
  </si>
  <si>
    <t>Total des salaires Autres</t>
  </si>
  <si>
    <t xml:space="preserve">Crédit d'impôt pourboires </t>
  </si>
  <si>
    <t xml:space="preserve">Repas aux employés </t>
  </si>
  <si>
    <t>Total des bénéfices gouvernementaux + (CSST et CNT)</t>
  </si>
  <si>
    <t xml:space="preserve">Total des bénéfices aux employés </t>
  </si>
  <si>
    <t>Coût annuel</t>
  </si>
  <si>
    <t>Total des salaires et bénéfices gouvernementaux</t>
  </si>
  <si>
    <t>CmO</t>
  </si>
  <si>
    <t xml:space="preserve">C </t>
  </si>
  <si>
    <t xml:space="preserve">B </t>
  </si>
  <si>
    <t>Bénéfice annuel</t>
  </si>
  <si>
    <t>BmO</t>
  </si>
  <si>
    <t>Coûts</t>
  </si>
  <si>
    <t>Bénéfices</t>
  </si>
  <si>
    <t>Cm/A</t>
  </si>
  <si>
    <t>Bm/A</t>
  </si>
  <si>
    <t>Coût mensuel</t>
  </si>
  <si>
    <t>Bénéfice mensuel</t>
  </si>
  <si>
    <t>Avantages sociaux (employés avec pourboires) :</t>
  </si>
  <si>
    <t>Avantages sociaux (employés sans pourboires) :</t>
  </si>
  <si>
    <t>Coût d’occupation</t>
  </si>
  <si>
    <t>Loyer — minimum et fixe</t>
  </si>
  <si>
    <t>Loyer — variable (%)</t>
  </si>
  <si>
    <t>Location — terrain</t>
  </si>
  <si>
    <t>Location d’équipement</t>
  </si>
  <si>
    <t>Taxes foncières</t>
  </si>
  <si>
    <t>Taxes d’usage de la propriété (eau, ordures)</t>
  </si>
  <si>
    <t>Autres taxes municipales (surtaxes non résidentielles)</t>
  </si>
  <si>
    <t>Redevance ou droit d’occupation</t>
  </si>
  <si>
    <t>Contribution pour la gestion d’une copropriété</t>
  </si>
  <si>
    <t>Association ou frais d’adhésion</t>
  </si>
  <si>
    <t>Assurances — bâtiments et contenus</t>
  </si>
  <si>
    <t>Autres coûts d’occupation</t>
  </si>
  <si>
    <t>Total des coûts d’occupation</t>
  </si>
  <si>
    <t>Coût d'occupation par place</t>
  </si>
  <si>
    <t>Coût direct d’exploitation annuel par place</t>
  </si>
  <si>
    <t>Coût direct d’exploitation</t>
  </si>
  <si>
    <t xml:space="preserve">Uniformes </t>
  </si>
  <si>
    <t xml:space="preserve">Buanderie et nettoyage à sec </t>
  </si>
  <si>
    <t>Location — Lingeries/tissus</t>
  </si>
  <si>
    <t xml:space="preserve">Achat — Lingeries/tissus </t>
  </si>
  <si>
    <t xml:space="preserve">Accessoires de tables </t>
  </si>
  <si>
    <t xml:space="preserve">Accessoires de service </t>
  </si>
  <si>
    <t xml:space="preserve">Accessoires de cuisine </t>
  </si>
  <si>
    <t>Dépenses — véhicules (livraison)</t>
  </si>
  <si>
    <t xml:space="preserve">Fournitures d’entretien </t>
  </si>
  <si>
    <t>Fournitures de papiers + Take Out</t>
  </si>
  <si>
    <t xml:space="preserve">Fournitures pour les invités/clients </t>
  </si>
  <si>
    <t xml:space="preserve">Fournitures de bar </t>
  </si>
  <si>
    <t xml:space="preserve">Menus et cartes </t>
  </si>
  <si>
    <t xml:space="preserve">Contrat d’entretien/nettoyage ménager </t>
  </si>
  <si>
    <t xml:space="preserve">Services hygiène et salubrité </t>
  </si>
  <si>
    <t xml:space="preserve">Décorations intérieures </t>
  </si>
  <si>
    <t>Stationnement — véhicules des clients</t>
  </si>
  <si>
    <t xml:space="preserve">Droits (permis) d’exploitations </t>
  </si>
  <si>
    <t>Frais de banquet</t>
  </si>
  <si>
    <t>Autres dépenses d’exploitation</t>
  </si>
  <si>
    <t>Total des coûts directs d’exploitation</t>
  </si>
  <si>
    <t>Coût musique &amp; divertissement annuel par place</t>
  </si>
  <si>
    <t>Janvier 2017</t>
  </si>
  <si>
    <t>Février 2017</t>
  </si>
  <si>
    <t>Mars 2017</t>
  </si>
  <si>
    <t>Avril 2017</t>
  </si>
  <si>
    <t>Mai 2017</t>
  </si>
  <si>
    <t>Juin 2017</t>
  </si>
  <si>
    <t>Juillet 2017</t>
  </si>
  <si>
    <t>Août 2017</t>
  </si>
  <si>
    <t>Septembre 2017</t>
  </si>
  <si>
    <t>Octobre 2017</t>
  </si>
  <si>
    <t>Novembre 2017</t>
  </si>
  <si>
    <t>Décembre 2017</t>
  </si>
  <si>
    <t>Année 2017</t>
  </si>
  <si>
    <t>Musique &amp; Divertissement</t>
  </si>
  <si>
    <t>Musiciens et animateur</t>
  </si>
  <si>
    <t>Divertisseurs professionnel</t>
  </si>
  <si>
    <t>Musique d'ambiance (avec gestion à l'interne interne)</t>
  </si>
  <si>
    <t>Service de musique câblée</t>
  </si>
  <si>
    <t>Location de piano et réglage (tuning)</t>
    <phoneticPr fontId="0" type="noConversion"/>
  </si>
  <si>
    <t>Soutien matériel aux musiciens</t>
  </si>
  <si>
    <t>Redevances à la SOCAN</t>
    <phoneticPr fontId="0" type="noConversion"/>
  </si>
  <si>
    <t>Frais d’agent d’artiste</t>
  </si>
  <si>
    <t>Repas des musiciens et des animateurs</t>
  </si>
  <si>
    <t>Autres coûts associés à Musique &amp; Divertissement</t>
  </si>
  <si>
    <t>Total des coûts de musique &amp; divertissement</t>
  </si>
  <si>
    <t>Marketing &amp; Communication marketing</t>
  </si>
  <si>
    <t>Recherche Marketing</t>
  </si>
  <si>
    <t>Recherche &amp; Développement de nouveaux produits</t>
  </si>
  <si>
    <t>Publicités</t>
  </si>
  <si>
    <t>Relations publiques</t>
  </si>
  <si>
    <t>Ventes directes</t>
  </si>
  <si>
    <t>Promotion</t>
  </si>
  <si>
    <t>Marketing direct</t>
  </si>
  <si>
    <t>Commandite</t>
  </si>
  <si>
    <t>Placement de produit</t>
  </si>
  <si>
    <t>Communication événementielle</t>
  </si>
  <si>
    <t>Autres coûts</t>
  </si>
  <si>
    <t>Total des coûts Marketing &amp; Communication marketing</t>
  </si>
  <si>
    <t>Coût annuel (Marketing &amp; Communication marketing) par place</t>
  </si>
  <si>
    <t>Services publics</t>
  </si>
  <si>
    <t xml:space="preserve">Électricité </t>
  </si>
  <si>
    <t xml:space="preserve">Accessoires électriques </t>
  </si>
  <si>
    <t xml:space="preserve">Eau et glace </t>
  </si>
  <si>
    <t>Enlèvement des ordures</t>
  </si>
  <si>
    <t xml:space="preserve">Autres énergies </t>
  </si>
  <si>
    <t xml:space="preserve">Fournitures de mécanique et d’électricité </t>
  </si>
  <si>
    <t xml:space="preserve">Revenus de recyclage </t>
  </si>
  <si>
    <t xml:space="preserve">Reventes de services utilitaires </t>
  </si>
  <si>
    <t>Autres coûts associés aux services publics</t>
  </si>
  <si>
    <t>Total des coûts de services publics</t>
  </si>
  <si>
    <t>Coût des services public</t>
  </si>
  <si>
    <t>Coût annuel par place</t>
  </si>
  <si>
    <t>Coût Administration &amp; Frais généraux</t>
  </si>
  <si>
    <t>Fournitures de bureau</t>
  </si>
  <si>
    <t xml:space="preserve">Traitement de données </t>
  </si>
  <si>
    <t>Poste et messagerie</t>
  </si>
  <si>
    <t>Télécommunications</t>
  </si>
  <si>
    <t xml:space="preserve">Associations, droits et cotisations </t>
  </si>
  <si>
    <t>Déplacements (gérant et staff)</t>
  </si>
  <si>
    <t>Assurances générales</t>
  </si>
  <si>
    <t>Frais d’escomptes sur carte de crédit</t>
  </si>
  <si>
    <t>Provision pour mauvaises créances</t>
  </si>
  <si>
    <t>Court et surplus de caisse</t>
  </si>
  <si>
    <t>Honoraires professionnels</t>
  </si>
  <si>
    <t>Service de protection/sécurité</t>
  </si>
  <si>
    <t>Intérêts et frais bancaires</t>
  </si>
  <si>
    <t>Redevances/droits de franchises</t>
  </si>
  <si>
    <t>Total des coûts Administration &amp; Frais généraux</t>
  </si>
  <si>
    <t>Coût d’entretien et réparations</t>
  </si>
  <si>
    <t>Ameublement et agencement</t>
  </si>
  <si>
    <t>Équipement de cuisine</t>
  </si>
  <si>
    <t>Équipement de bureau</t>
  </si>
  <si>
    <t>Réfrigération</t>
  </si>
  <si>
    <t>Air conditionné</t>
  </si>
  <si>
    <t>Plomberie et chauffage</t>
  </si>
  <si>
    <t>Électricité et mécanique</t>
  </si>
  <si>
    <t>Plancher et tapis</t>
  </si>
  <si>
    <t>Immeubles/Bâtisses</t>
  </si>
  <si>
    <t>Stationnement</t>
  </si>
  <si>
    <t>Terrassements et entretien paysager</t>
  </si>
  <si>
    <t>Altération Immobilière / Bâtisse</t>
  </si>
  <si>
    <t>Peinture, recouvrement et décorations</t>
  </si>
  <si>
    <t>Matériel roulant (auto et camions)</t>
  </si>
  <si>
    <t>Équipements et fournitures</t>
  </si>
  <si>
    <t xml:space="preserve">Autres </t>
  </si>
  <si>
    <t>Total des coûts d’entretien et réparations</t>
  </si>
  <si>
    <t xml:space="preserve">Contrat de services d’entretien </t>
  </si>
  <si>
    <t>Frais financier</t>
  </si>
  <si>
    <t>Emprunt numéro 1</t>
  </si>
  <si>
    <t>Total des frais financier</t>
  </si>
  <si>
    <t>Emprunt numéro 2</t>
  </si>
  <si>
    <t>Emprunt numéro 3</t>
  </si>
  <si>
    <t>Emprunt numéro 4</t>
  </si>
  <si>
    <t>Emprunt numéro 5</t>
  </si>
  <si>
    <t>Emprunt numéro 6</t>
  </si>
  <si>
    <t>Emprunt numéro 7</t>
  </si>
  <si>
    <t>Emprunt numéro 8</t>
  </si>
  <si>
    <t>Emprunt numéro 9</t>
  </si>
  <si>
    <t>Emprunt numéro 10</t>
  </si>
  <si>
    <t xml:space="preserve">Entreprise de restauration alimentaire 12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</si>
</sst>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0.00\ &quot;$&quot;_);\(#,##0.00\ &quot;$&quot;\)"/>
    <numFmt numFmtId="44" formatCode="_ * #,##0.00_)\ &quot;$&quot;_ ;_ * \(#,##0.00\)\ &quot;$&quot;_ ;_ * &quot;-&quot;??_)\ &quot;$&quot;_ ;_ @_ "/>
    <numFmt numFmtId="164" formatCode="&quot;$&quot;#,##0_);\(&quot;$&quot;#,##0\)"/>
    <numFmt numFmtId="165" formatCode="&quot;$&quot;#,##0.00_);\(&quot;$&quot;#,##0.00\)"/>
    <numFmt numFmtId="166" formatCode="_(&quot;$&quot;* #,##0_);_(&quot;$&quot;* \(#,##0\);_(&quot;$&quot;* &quot;-&quot;_);_(@_)"/>
    <numFmt numFmtId="167" formatCode="_(&quot;$&quot;* #,##0.00_);_(&quot;$&quot;* \(#,##0.00\);_(&quot;$&quot;* &quot;-&quot;??_);_(@_)"/>
    <numFmt numFmtId="168" formatCode="_ * #,##0_)\ _$_ ;_ * \(#,##0\)\ _$_ ;_ * &quot;-&quot;_)\ _$_ ;_ @_ "/>
    <numFmt numFmtId="169" formatCode="_ * #,##0.00_)\ _$_ ;_ * \(#,##0.00\)\ _$_ ;_ * &quot;-&quot;??_)\ _$_ ;_ @_ "/>
    <numFmt numFmtId="170" formatCode="[$-C0C]d\ mmm\ yyyy;@"/>
    <numFmt numFmtId="171" formatCode="[$-C0C]d\ mmmm\,\ yyyy;@"/>
    <numFmt numFmtId="172" formatCode="_ * #,##0.00_)\ [$€-1]_ ;_ * \(#,##0.00\)\ [$€-1]_ ;_ * &quot;-&quot;??_)\ [$€-1]_ "/>
    <numFmt numFmtId="173" formatCode="_-* #,##0.00\ &quot;$&quot;_-;_-* #,##0.00\ &quot;$&quot;\-;_-* &quot;-&quot;??\ &quot;$&quot;_-;_-@_-"/>
    <numFmt numFmtId="174" formatCode="0.0"/>
    <numFmt numFmtId="175" formatCode="0.0%"/>
    <numFmt numFmtId="176" formatCode="#,##0.00&quot;$&quot;"/>
    <numFmt numFmtId="177" formatCode="#,##0.00\ &quot;$&quot;"/>
    <numFmt numFmtId="178" formatCode="_-* #,##0.00&quot;$&quot;_-;\-* #,##0.00&quot;$&quot;_-;_-* &quot;-&quot;??&quot;$&quot;_-;_-@_-"/>
    <numFmt numFmtId="179" formatCode="_ * #,##0.00_)\ _$_ ;_ * \(#,##0.00\)\ _$_ ;_ * &quot;-&quot;_)\ _$_ ;_ @_ "/>
    <numFmt numFmtId="180" formatCode="0.0000"/>
    <numFmt numFmtId="181" formatCode="#,##0.0000"/>
    <numFmt numFmtId="182" formatCode="_ * #,##0_)\ &quot;$&quot;_ ;_ * \(#,##0\)\ &quot;$&quot;_ ;_ * &quot;-&quot;??_)\ &quot;$&quot;_ ;_ @_ "/>
  </numFmts>
  <fonts count="96" x14ac:knownFonts="1">
    <font>
      <sz val="10"/>
      <name val="Arial"/>
      <charset val="204"/>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4"/>
      <name val="Arial"/>
      <family val="2"/>
      <charset val="204"/>
    </font>
    <font>
      <b/>
      <sz val="12"/>
      <name val="Arial"/>
      <family val="2"/>
      <charset val="204"/>
    </font>
    <font>
      <sz val="12"/>
      <name val="Arial"/>
      <family val="2"/>
      <charset val="204"/>
    </font>
    <font>
      <b/>
      <sz val="10"/>
      <name val="Arial"/>
      <family val="2"/>
      <charset val="204"/>
    </font>
    <font>
      <b/>
      <sz val="10"/>
      <color theme="0" tint="-0.249977111117893"/>
      <name val="Arial"/>
      <family val="2"/>
    </font>
    <font>
      <sz val="10"/>
      <color theme="0" tint="-0.249977111117893"/>
      <name val="Arial"/>
      <family val="2"/>
    </font>
    <font>
      <sz val="10"/>
      <color rgb="FFD9D9D9"/>
      <name val="Arial"/>
      <family val="2"/>
    </font>
    <font>
      <b/>
      <sz val="10"/>
      <color rgb="FFD9D9D9"/>
      <name val="Arial"/>
      <family val="2"/>
    </font>
    <font>
      <b/>
      <sz val="10"/>
      <color rgb="FF0000FF"/>
      <name val="Arial"/>
      <family val="2"/>
    </font>
    <font>
      <b/>
      <sz val="8"/>
      <name val="Arial"/>
      <family val="2"/>
    </font>
    <font>
      <b/>
      <u/>
      <sz val="10"/>
      <name val="Arial"/>
      <family val="2"/>
      <charset val="204"/>
    </font>
    <font>
      <sz val="10"/>
      <color rgb="FF0000FF"/>
      <name val="Arial"/>
      <family val="2"/>
    </font>
    <font>
      <sz val="11"/>
      <name val="Arial"/>
      <family val="2"/>
      <charset val="204"/>
    </font>
    <font>
      <i/>
      <sz val="11"/>
      <color indexed="45"/>
      <name val="Arial"/>
      <family val="2"/>
    </font>
    <font>
      <u/>
      <sz val="10"/>
      <color indexed="12"/>
      <name val="Verdana"/>
      <family val="2"/>
    </font>
    <font>
      <sz val="10"/>
      <name val="Verdana"/>
      <family val="2"/>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family val="2"/>
    </font>
    <font>
      <u/>
      <sz val="10"/>
      <color theme="11"/>
      <name val="Arial"/>
      <family val="2"/>
    </font>
    <font>
      <b/>
      <sz val="8"/>
      <color theme="1"/>
      <name val="Arial"/>
      <family val="2"/>
    </font>
    <font>
      <b/>
      <sz val="10"/>
      <color theme="0"/>
      <name val="Arial"/>
      <family val="2"/>
    </font>
    <font>
      <sz val="10"/>
      <color theme="0"/>
      <name val="Arial"/>
      <family val="2"/>
    </font>
    <font>
      <sz val="10"/>
      <color theme="0" tint="-0.14999847407452621"/>
      <name val="Arial"/>
      <family val="2"/>
    </font>
    <font>
      <b/>
      <sz val="10"/>
      <color theme="0" tint="-0.14999847407452621"/>
      <name val="Arial"/>
      <family val="2"/>
    </font>
    <font>
      <b/>
      <sz val="12"/>
      <color theme="1"/>
      <name val="Calibri"/>
      <family val="2"/>
      <scheme val="minor"/>
    </font>
    <font>
      <b/>
      <sz val="10"/>
      <color theme="1"/>
      <name val="Arial"/>
      <family val="2"/>
    </font>
    <font>
      <b/>
      <sz val="16"/>
      <color theme="1"/>
      <name val="Calibri"/>
      <family val="2"/>
      <scheme val="minor"/>
    </font>
    <font>
      <sz val="14"/>
      <color theme="1"/>
      <name val="Calibri"/>
      <family val="2"/>
      <scheme val="minor"/>
    </font>
    <font>
      <b/>
      <sz val="12"/>
      <color rgb="FF0000FF"/>
      <name val="Calibri"/>
      <family val="2"/>
      <scheme val="minor"/>
    </font>
    <font>
      <b/>
      <sz val="10"/>
      <color theme="0" tint="-4.9989318521683403E-2"/>
      <name val="Arial"/>
      <family val="2"/>
    </font>
    <font>
      <sz val="10"/>
      <color theme="0" tint="-4.9989318521683403E-2"/>
      <name val="Arial"/>
      <family val="2"/>
    </font>
    <font>
      <b/>
      <u/>
      <sz val="10"/>
      <color theme="0" tint="-4.9989318521683403E-2"/>
      <name val="Arial"/>
      <family val="2"/>
    </font>
    <font>
      <sz val="10"/>
      <color theme="1"/>
      <name val="Arial"/>
      <family val="2"/>
    </font>
    <font>
      <b/>
      <sz val="20"/>
      <color theme="1"/>
      <name val="Calibri"/>
      <family val="2"/>
      <scheme val="minor"/>
    </font>
    <font>
      <b/>
      <sz val="10"/>
      <color rgb="FF0003FF"/>
      <name val="Arial"/>
      <family val="2"/>
    </font>
    <font>
      <sz val="10"/>
      <color rgb="FF0003FF"/>
      <name val="Arial"/>
      <family val="2"/>
    </font>
    <font>
      <sz val="8"/>
      <name val="Arial"/>
      <family val="2"/>
    </font>
    <font>
      <sz val="14"/>
      <color rgb="FF333333"/>
      <name val="Verdana"/>
      <family val="2"/>
    </font>
    <font>
      <b/>
      <sz val="10"/>
      <name val="Arial"/>
      <family val="2"/>
    </font>
    <font>
      <b/>
      <sz val="14"/>
      <name val="Verdana"/>
      <family val="2"/>
    </font>
    <font>
      <b/>
      <sz val="10"/>
      <color rgb="FF272AD5"/>
      <name val="Arial"/>
      <family val="2"/>
    </font>
    <font>
      <b/>
      <u val="singleAccounting"/>
      <sz val="10"/>
      <name val="Arial"/>
      <family val="2"/>
    </font>
    <font>
      <b/>
      <u val="singleAccounting"/>
      <sz val="10"/>
      <color theme="0"/>
      <name val="Arial"/>
      <family val="2"/>
    </font>
    <font>
      <sz val="14"/>
      <color theme="0"/>
      <name val="Arial"/>
      <family val="2"/>
    </font>
    <font>
      <b/>
      <sz val="10"/>
      <color indexed="9"/>
      <name val="Arial"/>
      <family val="2"/>
      <charset val="204"/>
    </font>
    <font>
      <sz val="10"/>
      <color indexed="9"/>
      <name val="Arial"/>
      <family val="2"/>
    </font>
    <font>
      <sz val="10"/>
      <color rgb="FFFF0000"/>
      <name val="Arial"/>
      <family val="2"/>
    </font>
    <font>
      <b/>
      <u/>
      <sz val="10"/>
      <name val="Arial"/>
      <family val="2"/>
    </font>
    <font>
      <b/>
      <sz val="12"/>
      <name val="Arial"/>
      <family val="2"/>
    </font>
    <font>
      <sz val="12"/>
      <name val="Arial"/>
      <family val="2"/>
    </font>
    <font>
      <sz val="48"/>
      <name val="Arial"/>
      <family val="2"/>
    </font>
    <font>
      <b/>
      <sz val="20"/>
      <name val="Arial"/>
      <family val="2"/>
    </font>
    <font>
      <sz val="14"/>
      <color theme="1"/>
      <name val="Arial"/>
      <family val="2"/>
    </font>
    <font>
      <b/>
      <sz val="12"/>
      <color theme="1"/>
      <name val="Arial"/>
      <family val="2"/>
    </font>
    <font>
      <sz val="12"/>
      <color theme="1"/>
      <name val="Arial"/>
      <family val="2"/>
    </font>
    <font>
      <b/>
      <sz val="12"/>
      <color indexed="9"/>
      <name val="Arial"/>
      <family val="2"/>
      <charset val="204"/>
    </font>
    <font>
      <b/>
      <sz val="12"/>
      <color theme="0"/>
      <name val="Arial"/>
      <family val="2"/>
    </font>
    <font>
      <sz val="12"/>
      <color theme="0"/>
      <name val="Calibri"/>
      <family val="2"/>
      <scheme val="minor"/>
    </font>
    <font>
      <b/>
      <sz val="20"/>
      <color theme="0"/>
      <name val="Arial"/>
      <family val="2"/>
    </font>
    <font>
      <b/>
      <sz val="14"/>
      <color theme="0"/>
      <name val="Arial"/>
      <family val="2"/>
    </font>
    <font>
      <b/>
      <sz val="80"/>
      <color theme="0"/>
      <name val="Calibri"/>
      <family val="2"/>
      <scheme val="minor"/>
    </font>
    <font>
      <b/>
      <sz val="16"/>
      <color theme="0"/>
      <name val="Calibri"/>
      <family val="2"/>
      <scheme val="minor"/>
    </font>
    <font>
      <sz val="14"/>
      <color theme="0"/>
      <name val="Calibri"/>
      <family val="2"/>
      <scheme val="minor"/>
    </font>
    <font>
      <b/>
      <sz val="20"/>
      <color theme="0"/>
      <name val="Calibri"/>
      <family val="2"/>
      <scheme val="minor"/>
    </font>
    <font>
      <b/>
      <sz val="80"/>
      <color theme="1"/>
      <name val="Calibri"/>
      <family val="2"/>
      <scheme val="minor"/>
    </font>
    <font>
      <sz val="48"/>
      <color theme="0"/>
      <name val="Arial"/>
      <family val="2"/>
    </font>
    <font>
      <sz val="48"/>
      <color theme="1"/>
      <name val="Arial"/>
      <family val="2"/>
    </font>
    <font>
      <sz val="10"/>
      <color indexed="14"/>
      <name val="Arial"/>
      <family val="2"/>
    </font>
    <font>
      <sz val="10"/>
      <color theme="7" tint="0.79998168889431442"/>
      <name val="Arial"/>
      <family val="2"/>
    </font>
    <font>
      <b/>
      <sz val="10"/>
      <color indexed="14"/>
      <name val="Arial"/>
      <family val="2"/>
    </font>
    <font>
      <sz val="10"/>
      <color indexed="10"/>
      <name val="Arial"/>
      <family val="2"/>
    </font>
    <font>
      <b/>
      <sz val="10"/>
      <color theme="0"/>
      <name val="Arial"/>
      <family val="2"/>
      <charset val="204"/>
    </font>
    <font>
      <b/>
      <sz val="13"/>
      <color theme="1"/>
      <name val="Arial"/>
      <family val="2"/>
    </font>
    <font>
      <sz val="13"/>
      <color theme="1"/>
      <name val="Arial"/>
      <family val="2"/>
    </font>
    <font>
      <b/>
      <sz val="12"/>
      <color rgb="FF0003FF"/>
      <name val="Arial"/>
      <family val="2"/>
    </font>
    <font>
      <b/>
      <sz val="80"/>
      <color theme="7" tint="0.59999389629810485"/>
      <name val="Calibri"/>
      <family val="2"/>
      <scheme val="minor"/>
    </font>
    <font>
      <sz val="12"/>
      <color theme="7" tint="0.59999389629810485"/>
      <name val="Calibri"/>
      <family val="2"/>
      <scheme val="minor"/>
    </font>
    <font>
      <b/>
      <sz val="9"/>
      <color indexed="81"/>
      <name val="Arial"/>
      <family val="2"/>
    </font>
    <font>
      <b/>
      <sz val="9"/>
      <color rgb="FF000000"/>
      <name val="Arial"/>
      <family val="2"/>
    </font>
    <font>
      <b/>
      <u/>
      <sz val="10"/>
      <color theme="1"/>
      <name val="Arial"/>
      <family val="2"/>
    </font>
    <font>
      <sz val="10"/>
      <color rgb="FF000000"/>
      <name val="Arial"/>
      <family val="2"/>
    </font>
    <font>
      <b/>
      <sz val="10"/>
      <color rgb="FF000000"/>
      <name val="Arial"/>
      <family val="2"/>
    </font>
    <font>
      <b/>
      <u/>
      <sz val="14"/>
      <color theme="1"/>
      <name val="Arial"/>
      <family val="2"/>
    </font>
    <font>
      <sz val="9"/>
      <color indexed="81"/>
      <name val="Arial"/>
      <family val="2"/>
    </font>
    <font>
      <b/>
      <sz val="10"/>
      <color indexed="81"/>
      <name val="Arial"/>
      <family val="2"/>
    </font>
    <font>
      <b/>
      <u/>
      <sz val="12"/>
      <color theme="1"/>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rgb="FF000000"/>
        <bgColor rgb="FF000000"/>
      </patternFill>
    </fill>
    <fill>
      <patternFill patternType="solid">
        <fgColor theme="1"/>
        <bgColor rgb="FF000000"/>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indexed="26"/>
      </patternFill>
    </fill>
    <fill>
      <patternFill patternType="solid">
        <fgColor indexed="42"/>
      </patternFill>
    </fill>
    <fill>
      <patternFill patternType="solid">
        <fgColor indexed="55"/>
      </patternFill>
    </fill>
    <fill>
      <patternFill patternType="solid">
        <fgColor theme="7" tint="0.59999389629810485"/>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7" tint="0.79998168889431442"/>
        <bgColor indexed="64"/>
      </patternFill>
    </fill>
    <fill>
      <patternFill patternType="solid">
        <fgColor rgb="FFC0C0C0"/>
        <bgColor rgb="FF000000"/>
      </patternFill>
    </fill>
    <fill>
      <patternFill patternType="solid">
        <fgColor theme="2" tint="-0.249977111117893"/>
        <bgColor indexed="64"/>
      </patternFill>
    </fill>
    <fill>
      <patternFill patternType="solid">
        <fgColor theme="4" tint="0.39997558519241921"/>
        <bgColor indexed="64"/>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theme="8" tint="-0.249977111117893"/>
        <bgColor indexed="64"/>
      </patternFill>
    </fill>
    <fill>
      <patternFill patternType="solid">
        <fgColor theme="7" tint="0.59999389629810485"/>
        <bgColor rgb="FF000000"/>
      </patternFill>
    </fill>
  </fills>
  <borders count="87">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style="thin">
        <color rgb="FF000000"/>
      </right>
      <top style="thick">
        <color auto="1"/>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bottom style="thick">
        <color auto="1"/>
      </bottom>
      <diagonal/>
    </border>
    <border>
      <left/>
      <right style="thin">
        <color auto="1"/>
      </right>
      <top style="thin">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style="thin">
        <color auto="1"/>
      </left>
      <right/>
      <top/>
      <bottom/>
      <diagonal/>
    </border>
    <border>
      <left/>
      <right style="thin">
        <color auto="1"/>
      </right>
      <top/>
      <bottom style="thick">
        <color auto="1"/>
      </bottom>
      <diagonal/>
    </border>
    <border>
      <left style="thin">
        <color auto="1"/>
      </left>
      <right style="thick">
        <color auto="1"/>
      </right>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auto="1"/>
      </left>
      <right style="thick">
        <color auto="1"/>
      </right>
      <top/>
      <bottom/>
      <diagonal/>
    </border>
    <border>
      <left style="thick">
        <color auto="1"/>
      </left>
      <right style="thin">
        <color auto="1"/>
      </right>
      <top style="thick">
        <color auto="1"/>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ck">
        <color auto="1"/>
      </right>
      <top style="thick">
        <color auto="1"/>
      </top>
      <bottom style="thick">
        <color auto="1"/>
      </bottom>
      <diagonal/>
    </border>
    <border>
      <left/>
      <right style="thin">
        <color rgb="FF000000"/>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bottom style="medium">
        <color auto="1"/>
      </bottom>
      <diagonal/>
    </border>
    <border>
      <left/>
      <right style="thick">
        <color auto="1"/>
      </right>
      <top/>
      <bottom style="medium">
        <color auto="1"/>
      </bottom>
      <diagonal/>
    </border>
    <border>
      <left style="thick">
        <color auto="1"/>
      </left>
      <right style="thick">
        <color auto="1"/>
      </right>
      <top style="medium">
        <color auto="1"/>
      </top>
      <bottom/>
      <diagonal/>
    </border>
    <border>
      <left style="thick">
        <color auto="1"/>
      </left>
      <right style="thick">
        <color auto="1"/>
      </right>
      <top/>
      <bottom style="dashed">
        <color auto="1"/>
      </bottom>
      <diagonal/>
    </border>
    <border>
      <left/>
      <right/>
      <top/>
      <bottom style="dashed">
        <color auto="1"/>
      </bottom>
      <diagonal/>
    </border>
    <border>
      <left style="thick">
        <color auto="1"/>
      </left>
      <right/>
      <top/>
      <bottom style="dashed">
        <color auto="1"/>
      </bottom>
      <diagonal/>
    </border>
    <border>
      <left/>
      <right style="thick">
        <color auto="1"/>
      </right>
      <top/>
      <bottom style="dashed">
        <color auto="1"/>
      </bottom>
      <diagonal/>
    </border>
    <border>
      <left/>
      <right/>
      <top/>
      <bottom style="medium">
        <color auto="1"/>
      </bottom>
      <diagonal/>
    </border>
    <border>
      <left style="thick">
        <color auto="1"/>
      </left>
      <right/>
      <top/>
      <bottom style="medium">
        <color auto="1"/>
      </bottom>
      <diagonal/>
    </border>
    <border>
      <left style="thick">
        <color auto="1"/>
      </left>
      <right/>
      <top style="medium">
        <color auto="1"/>
      </top>
      <bottom style="dashed">
        <color auto="1"/>
      </bottom>
      <diagonal/>
    </border>
    <border>
      <left style="thin">
        <color indexed="64"/>
      </left>
      <right style="thin">
        <color indexed="64"/>
      </right>
      <top style="thin">
        <color indexed="64"/>
      </top>
      <bottom style="thin">
        <color indexed="64"/>
      </bottom>
      <diagonal/>
    </border>
    <border>
      <left style="thick">
        <color auto="1"/>
      </left>
      <right/>
      <top style="medium">
        <color auto="1"/>
      </top>
      <bottom/>
      <diagonal/>
    </border>
    <border>
      <left/>
      <right style="thick">
        <color auto="1"/>
      </right>
      <top style="medium">
        <color auto="1"/>
      </top>
      <bottom/>
      <diagonal/>
    </border>
    <border>
      <left style="thick">
        <color auto="1"/>
      </left>
      <right style="thick">
        <color auto="1"/>
      </right>
      <top style="medium">
        <color auto="1"/>
      </top>
      <bottom style="dotted">
        <color auto="1"/>
      </bottom>
      <diagonal/>
    </border>
    <border>
      <left style="thick">
        <color auto="1"/>
      </left>
      <right/>
      <top style="medium">
        <color auto="1"/>
      </top>
      <bottom style="dotted">
        <color auto="1"/>
      </bottom>
      <diagonal/>
    </border>
    <border>
      <left/>
      <right style="thick">
        <color auto="1"/>
      </right>
      <top style="medium">
        <color auto="1"/>
      </top>
      <bottom style="dotted">
        <color auto="1"/>
      </bottom>
      <diagonal/>
    </border>
    <border>
      <left style="thick">
        <color auto="1"/>
      </left>
      <right style="thick">
        <color auto="1"/>
      </right>
      <top style="dotted">
        <color auto="1"/>
      </top>
      <bottom style="thick">
        <color auto="1"/>
      </bottom>
      <diagonal/>
    </border>
    <border>
      <left style="thick">
        <color auto="1"/>
      </left>
      <right/>
      <top style="dotted">
        <color auto="1"/>
      </top>
      <bottom style="thick">
        <color auto="1"/>
      </bottom>
      <diagonal/>
    </border>
    <border>
      <left/>
      <right style="thick">
        <color auto="1"/>
      </right>
      <top style="dotted">
        <color auto="1"/>
      </top>
      <bottom style="thick">
        <color auto="1"/>
      </bottom>
      <diagonal/>
    </border>
    <border>
      <left style="mediumDashed">
        <color auto="1"/>
      </left>
      <right/>
      <top/>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ck">
        <color auto="1"/>
      </top>
      <bottom style="thick">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thick">
        <color auto="1"/>
      </top>
      <bottom style="thick">
        <color auto="1"/>
      </bottom>
      <diagonal/>
    </border>
    <border>
      <left/>
      <right/>
      <top style="medium">
        <color auto="1"/>
      </top>
      <bottom/>
      <diagonal/>
    </border>
    <border>
      <left style="thick">
        <color auto="1"/>
      </left>
      <right style="thick">
        <color auto="1"/>
      </right>
      <top style="thick">
        <color auto="1"/>
      </top>
      <bottom style="medium">
        <color auto="1"/>
      </bottom>
      <diagonal/>
    </border>
    <border>
      <left style="hair">
        <color auto="1"/>
      </left>
      <right style="thick">
        <color auto="1"/>
      </right>
      <top style="hair">
        <color auto="1"/>
      </top>
      <bottom style="hair">
        <color auto="1"/>
      </bottom>
      <diagonal/>
    </border>
    <border>
      <left/>
      <right style="thick">
        <color auto="1"/>
      </right>
      <top style="hair">
        <color auto="1"/>
      </top>
      <bottom style="hair">
        <color auto="1"/>
      </bottom>
      <diagonal/>
    </border>
  </borders>
  <cellStyleXfs count="129">
    <xf numFmtId="0" fontId="0" fillId="0" borderId="0"/>
    <xf numFmtId="49" fontId="18" fillId="0" borderId="0">
      <alignment horizontal="left" vertical="top"/>
    </xf>
    <xf numFmtId="0" fontId="4" fillId="8" borderId="33" applyNumberFormat="0" applyFont="0" applyAlignment="0" applyProtection="0"/>
    <xf numFmtId="172" fontId="4" fillId="0" borderId="0" applyFont="0" applyFill="0" applyBorder="0" applyAlignment="0" applyProtection="0"/>
    <xf numFmtId="0" fontId="19" fillId="0" borderId="0" applyNumberFormat="0" applyFill="0" applyBorder="0" applyAlignment="0" applyProtection="0">
      <alignment vertical="top"/>
      <protection locked="0"/>
    </xf>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0" fontId="20" fillId="0" borderId="0"/>
    <xf numFmtId="0" fontId="4" fillId="0" borderId="0"/>
    <xf numFmtId="9" fontId="4" fillId="0" borderId="0" applyFont="0" applyFill="0" applyBorder="0" applyAlignment="0" applyProtection="0"/>
    <xf numFmtId="0" fontId="21" fillId="9" borderId="0" applyNumberFormat="0" applyBorder="0" applyAlignment="0" applyProtection="0"/>
    <xf numFmtId="0" fontId="22" fillId="0" borderId="0" applyNumberFormat="0" applyFill="0" applyBorder="0" applyAlignment="0" applyProtection="0"/>
    <xf numFmtId="0" fontId="23" fillId="0" borderId="34" applyNumberFormat="0" applyFill="0" applyAlignment="0" applyProtection="0"/>
    <xf numFmtId="0" fontId="24" fillId="0" borderId="35" applyNumberFormat="0" applyFill="0" applyAlignment="0" applyProtection="0"/>
    <xf numFmtId="0" fontId="25" fillId="0" borderId="36" applyNumberFormat="0" applyFill="0" applyAlignment="0" applyProtection="0"/>
    <xf numFmtId="0" fontId="25" fillId="0" borderId="0" applyNumberFormat="0" applyFill="0" applyBorder="0" applyAlignment="0" applyProtection="0"/>
    <xf numFmtId="0" fontId="26" fillId="10" borderId="37"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 fillId="0" borderId="0"/>
    <xf numFmtId="167"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cellStyleXfs>
  <cellXfs count="960">
    <xf numFmtId="0" fontId="0" fillId="0" borderId="0" xfId="0"/>
    <xf numFmtId="0" fontId="9" fillId="2" borderId="1" xfId="0" applyFont="1" applyFill="1" applyBorder="1" applyAlignment="1">
      <alignment horizontal="center"/>
    </xf>
    <xf numFmtId="0" fontId="10" fillId="2" borderId="2"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14" fontId="10" fillId="2" borderId="6" xfId="0" applyNumberFormat="1" applyFont="1" applyFill="1" applyBorder="1"/>
    <xf numFmtId="14" fontId="10" fillId="2" borderId="7" xfId="0" applyNumberFormat="1" applyFont="1" applyFill="1" applyBorder="1"/>
    <xf numFmtId="49" fontId="0" fillId="2" borderId="11" xfId="0" applyNumberFormat="1" applyFill="1" applyBorder="1" applyAlignment="1">
      <alignment horizontal="center"/>
    </xf>
    <xf numFmtId="1" fontId="11" fillId="3" borderId="15" xfId="0" applyNumberFormat="1" applyFont="1" applyFill="1" applyBorder="1" applyAlignment="1">
      <alignment horizontal="center"/>
    </xf>
    <xf numFmtId="1" fontId="11" fillId="3" borderId="3" xfId="0" applyNumberFormat="1" applyFont="1" applyFill="1" applyBorder="1" applyAlignment="1">
      <alignment horizontal="center"/>
    </xf>
    <xf numFmtId="1" fontId="11" fillId="3" borderId="16" xfId="0" applyNumberFormat="1" applyFont="1" applyFill="1" applyBorder="1" applyAlignment="1">
      <alignment horizontal="center"/>
    </xf>
    <xf numFmtId="0" fontId="11" fillId="3" borderId="20" xfId="0" applyFont="1" applyFill="1" applyBorder="1" applyAlignment="1">
      <alignment horizontal="center" wrapText="1"/>
    </xf>
    <xf numFmtId="1" fontId="13" fillId="0" borderId="9" xfId="0" applyNumberFormat="1" applyFont="1" applyBorder="1" applyAlignment="1" applyProtection="1">
      <alignment horizontal="center"/>
      <protection locked="0"/>
    </xf>
    <xf numFmtId="0" fontId="11" fillId="3" borderId="22" xfId="0" applyFont="1" applyFill="1" applyBorder="1" applyAlignment="1">
      <alignment horizontal="center" wrapText="1"/>
    </xf>
    <xf numFmtId="1" fontId="13" fillId="0" borderId="23" xfId="0" applyNumberFormat="1" applyFont="1" applyBorder="1" applyAlignment="1" applyProtection="1">
      <alignment horizontal="center"/>
      <protection locked="0"/>
    </xf>
    <xf numFmtId="0" fontId="11" fillId="3" borderId="24" xfId="0" applyFont="1" applyFill="1" applyBorder="1" applyAlignment="1">
      <alignment horizontal="center" wrapText="1"/>
    </xf>
    <xf numFmtId="0" fontId="14" fillId="0" borderId="11" xfId="0" applyFont="1" applyBorder="1" applyAlignment="1">
      <alignment horizontal="center" wrapText="1"/>
    </xf>
    <xf numFmtId="1" fontId="15" fillId="0" borderId="11" xfId="0" applyNumberFormat="1" applyFont="1" applyBorder="1" applyAlignment="1">
      <alignment horizontal="center"/>
    </xf>
    <xf numFmtId="0" fontId="11" fillId="3" borderId="6" xfId="0" applyFont="1" applyFill="1" applyBorder="1" applyAlignment="1">
      <alignment horizontal="center" wrapText="1"/>
    </xf>
    <xf numFmtId="0" fontId="11" fillId="3" borderId="4" xfId="0" applyFont="1" applyFill="1" applyBorder="1" applyAlignment="1">
      <alignment horizontal="center" wrapText="1"/>
    </xf>
    <xf numFmtId="0" fontId="14" fillId="0" borderId="26" xfId="0" applyFont="1" applyBorder="1" applyAlignment="1" applyProtection="1">
      <alignment horizontal="center" wrapText="1"/>
    </xf>
    <xf numFmtId="0" fontId="14" fillId="0" borderId="26" xfId="0" applyFont="1" applyBorder="1" applyAlignment="1">
      <alignment horizontal="center" wrapText="1"/>
    </xf>
    <xf numFmtId="1" fontId="13" fillId="0" borderId="21" xfId="0" applyNumberFormat="1" applyFont="1" applyBorder="1" applyAlignment="1" applyProtection="1">
      <alignment horizontal="center"/>
      <protection locked="0"/>
    </xf>
    <xf numFmtId="1" fontId="0" fillId="0" borderId="29" xfId="0" applyNumberFormat="1" applyFill="1" applyBorder="1" applyAlignment="1">
      <alignment horizontal="center"/>
    </xf>
    <xf numFmtId="1" fontId="15" fillId="0" borderId="25" xfId="0" applyNumberFormat="1" applyFont="1" applyBorder="1" applyAlignment="1">
      <alignment horizontal="center"/>
    </xf>
    <xf numFmtId="1" fontId="13" fillId="0" borderId="29" xfId="0" applyNumberFormat="1" applyFont="1" applyFill="1" applyBorder="1" applyAlignment="1">
      <alignment horizontal="center"/>
    </xf>
    <xf numFmtId="170" fontId="0" fillId="0" borderId="0" xfId="0" applyNumberFormat="1"/>
    <xf numFmtId="1" fontId="13" fillId="0" borderId="30" xfId="0" applyNumberFormat="1" applyFont="1" applyFill="1" applyBorder="1" applyAlignment="1">
      <alignment horizontal="center"/>
    </xf>
    <xf numFmtId="0" fontId="0" fillId="0" borderId="0" xfId="0" applyBorder="1"/>
    <xf numFmtId="1" fontId="0" fillId="0" borderId="30" xfId="0" applyNumberFormat="1" applyFill="1" applyBorder="1" applyAlignment="1">
      <alignment horizontal="center"/>
    </xf>
    <xf numFmtId="169" fontId="0" fillId="0" borderId="0" xfId="0" applyNumberFormat="1" applyFill="1" applyBorder="1" applyAlignment="1">
      <alignment horizontal="center"/>
    </xf>
    <xf numFmtId="169" fontId="0" fillId="0" borderId="0" xfId="0" applyNumberFormat="1"/>
    <xf numFmtId="167" fontId="0" fillId="0" borderId="0" xfId="0" applyNumberFormat="1"/>
    <xf numFmtId="0" fontId="11" fillId="4" borderId="6" xfId="0" applyFont="1" applyFill="1" applyBorder="1" applyAlignment="1">
      <alignment horizontal="center" wrapText="1"/>
    </xf>
    <xf numFmtId="0" fontId="14" fillId="6" borderId="31" xfId="0" applyFont="1" applyFill="1" applyBorder="1" applyAlignment="1">
      <alignment horizontal="center" wrapText="1"/>
    </xf>
    <xf numFmtId="1" fontId="0" fillId="6" borderId="25" xfId="0" applyNumberFormat="1" applyFill="1" applyBorder="1" applyAlignment="1">
      <alignment horizontal="center"/>
    </xf>
    <xf numFmtId="1" fontId="0" fillId="6" borderId="32" xfId="0" applyNumberFormat="1" applyFill="1" applyBorder="1" applyAlignment="1">
      <alignment horizontal="center"/>
    </xf>
    <xf numFmtId="0" fontId="8" fillId="0" borderId="0" xfId="0" applyFont="1"/>
    <xf numFmtId="10" fontId="17" fillId="0" borderId="0" xfId="0" applyNumberFormat="1" applyFont="1"/>
    <xf numFmtId="1" fontId="8" fillId="0" borderId="0" xfId="0" applyNumberFormat="1" applyFont="1" applyAlignment="1">
      <alignment horizontal="center"/>
    </xf>
    <xf numFmtId="1" fontId="8" fillId="0" borderId="39" xfId="0" applyNumberFormat="1" applyFont="1" applyBorder="1" applyAlignment="1">
      <alignment horizontal="center"/>
    </xf>
    <xf numFmtId="171" fontId="8" fillId="0" borderId="9" xfId="0" applyNumberFormat="1" applyFont="1" applyFill="1" applyBorder="1"/>
    <xf numFmtId="171" fontId="8" fillId="0" borderId="22" xfId="0" applyNumberFormat="1" applyFont="1" applyBorder="1"/>
    <xf numFmtId="171" fontId="8" fillId="0" borderId="23" xfId="0" applyNumberFormat="1" applyFont="1" applyFill="1" applyBorder="1"/>
    <xf numFmtId="171" fontId="8" fillId="0" borderId="24" xfId="0" applyNumberFormat="1" applyFont="1" applyBorder="1"/>
    <xf numFmtId="171" fontId="8" fillId="0" borderId="11" xfId="0" applyNumberFormat="1" applyFont="1" applyFill="1" applyBorder="1"/>
    <xf numFmtId="1" fontId="0" fillId="7" borderId="42" xfId="0" applyNumberFormat="1" applyFill="1" applyBorder="1" applyAlignment="1">
      <alignment horizontal="center" wrapText="1"/>
    </xf>
    <xf numFmtId="171" fontId="8" fillId="0" borderId="43" xfId="0" applyNumberFormat="1" applyFont="1" applyBorder="1" applyAlignment="1">
      <alignment wrapText="1"/>
    </xf>
    <xf numFmtId="171" fontId="0" fillId="7" borderId="45" xfId="0" applyNumberFormat="1" applyFill="1" applyBorder="1" applyAlignment="1">
      <alignment wrapText="1"/>
    </xf>
    <xf numFmtId="171" fontId="8" fillId="0" borderId="46" xfId="0" applyNumberFormat="1" applyFont="1" applyBorder="1" applyAlignment="1">
      <alignment wrapText="1"/>
    </xf>
    <xf numFmtId="171" fontId="0" fillId="7" borderId="22" xfId="0" applyNumberFormat="1" applyFill="1" applyBorder="1" applyAlignment="1">
      <alignment wrapText="1"/>
    </xf>
    <xf numFmtId="171" fontId="8" fillId="0" borderId="23" xfId="0" applyNumberFormat="1" applyFont="1" applyBorder="1" applyAlignment="1">
      <alignment wrapText="1"/>
    </xf>
    <xf numFmtId="171" fontId="8" fillId="7" borderId="45" xfId="0" applyNumberFormat="1" applyFont="1" applyFill="1" applyBorder="1"/>
    <xf numFmtId="171" fontId="8" fillId="0" borderId="46" xfId="0" applyNumberFormat="1" applyFont="1" applyFill="1" applyBorder="1"/>
    <xf numFmtId="171" fontId="8" fillId="7" borderId="24" xfId="0" applyNumberFormat="1" applyFont="1" applyFill="1" applyBorder="1"/>
    <xf numFmtId="1" fontId="0" fillId="7" borderId="20" xfId="0" applyNumberFormat="1" applyFill="1" applyBorder="1" applyAlignment="1">
      <alignment horizontal="center" wrapText="1"/>
    </xf>
    <xf numFmtId="171" fontId="8" fillId="0" borderId="21" xfId="0" applyNumberFormat="1" applyFont="1" applyBorder="1" applyAlignment="1">
      <alignment wrapText="1"/>
    </xf>
    <xf numFmtId="0" fontId="0" fillId="0" borderId="0" xfId="0" applyFill="1"/>
    <xf numFmtId="0" fontId="8" fillId="0" borderId="0" xfId="0" applyFont="1" applyFill="1" applyBorder="1"/>
    <xf numFmtId="37" fontId="15" fillId="0" borderId="25" xfId="0" applyNumberFormat="1" applyFont="1" applyBorder="1" applyAlignment="1">
      <alignment horizontal="center"/>
    </xf>
    <xf numFmtId="37" fontId="13" fillId="0" borderId="9" xfId="0" applyNumberFormat="1" applyFont="1" applyBorder="1" applyAlignment="1" applyProtection="1">
      <alignment horizontal="center"/>
      <protection locked="0"/>
    </xf>
    <xf numFmtId="37" fontId="13" fillId="0" borderId="23" xfId="0" applyNumberFormat="1" applyFont="1" applyBorder="1" applyAlignment="1" applyProtection="1">
      <alignment horizontal="center"/>
      <protection locked="0"/>
    </xf>
    <xf numFmtId="1" fontId="17" fillId="0" borderId="0" xfId="0" applyNumberFormat="1" applyFont="1" applyAlignment="1">
      <alignment horizontal="center"/>
    </xf>
    <xf numFmtId="1" fontId="0" fillId="0" borderId="0" xfId="0" applyNumberFormat="1" applyAlignment="1">
      <alignment horizontal="center"/>
    </xf>
    <xf numFmtId="0" fontId="0" fillId="0" borderId="0" xfId="0" applyNumberFormat="1"/>
    <xf numFmtId="1" fontId="35" fillId="0" borderId="29" xfId="0" applyNumberFormat="1" applyFont="1" applyBorder="1" applyAlignment="1" applyProtection="1">
      <alignment horizontal="center"/>
    </xf>
    <xf numFmtId="1" fontId="8" fillId="0" borderId="10" xfId="0" applyNumberFormat="1" applyFont="1" applyBorder="1" applyAlignment="1" applyProtection="1">
      <alignment horizontal="center"/>
    </xf>
    <xf numFmtId="1" fontId="8" fillId="0" borderId="40" xfId="0" applyNumberFormat="1" applyFont="1" applyBorder="1" applyAlignment="1" applyProtection="1">
      <alignment horizontal="center"/>
    </xf>
    <xf numFmtId="1" fontId="35" fillId="0" borderId="38" xfId="0" applyNumberFormat="1" applyFont="1" applyBorder="1" applyAlignment="1" applyProtection="1">
      <alignment horizontal="center"/>
    </xf>
    <xf numFmtId="1" fontId="35" fillId="0" borderId="43" xfId="0" applyNumberFormat="1" applyFont="1" applyBorder="1" applyAlignment="1" applyProtection="1">
      <alignment horizontal="center"/>
    </xf>
    <xf numFmtId="1" fontId="35" fillId="0" borderId="23" xfId="0" applyNumberFormat="1" applyFont="1" applyBorder="1" applyAlignment="1" applyProtection="1">
      <alignment horizontal="center"/>
    </xf>
    <xf numFmtId="1" fontId="13" fillId="2" borderId="25" xfId="0" applyNumberFormat="1" applyFont="1" applyFill="1" applyBorder="1" applyAlignment="1" applyProtection="1">
      <alignment horizontal="center"/>
      <protection locked="0"/>
    </xf>
    <xf numFmtId="1" fontId="13" fillId="2" borderId="32" xfId="0" applyNumberFormat="1" applyFont="1" applyFill="1" applyBorder="1" applyAlignment="1" applyProtection="1">
      <alignment horizontal="center"/>
      <protection locked="0"/>
    </xf>
    <xf numFmtId="1" fontId="13" fillId="2" borderId="48" xfId="0" applyNumberFormat="1" applyFont="1" applyFill="1" applyBorder="1" applyAlignment="1" applyProtection="1">
      <alignment horizontal="center"/>
      <protection locked="0"/>
    </xf>
    <xf numFmtId="1" fontId="33" fillId="6" borderId="17" xfId="0" applyNumberFormat="1" applyFont="1" applyFill="1" applyBorder="1" applyAlignment="1">
      <alignment horizontal="center"/>
    </xf>
    <xf numFmtId="1" fontId="33" fillId="6" borderId="18" xfId="0" applyNumberFormat="1" applyFont="1" applyFill="1" applyBorder="1" applyAlignment="1">
      <alignment horizontal="center"/>
    </xf>
    <xf numFmtId="1" fontId="33" fillId="6" borderId="19" xfId="0" applyNumberFormat="1" applyFont="1" applyFill="1" applyBorder="1" applyAlignment="1">
      <alignment horizontal="center"/>
    </xf>
    <xf numFmtId="170" fontId="8" fillId="2" borderId="18" xfId="0" applyNumberFormat="1" applyFont="1" applyFill="1" applyBorder="1" applyAlignment="1">
      <alignment horizontal="center"/>
    </xf>
    <xf numFmtId="170" fontId="8" fillId="2" borderId="19" xfId="0" applyNumberFormat="1" applyFont="1" applyFill="1" applyBorder="1" applyAlignment="1">
      <alignment horizontal="center"/>
    </xf>
    <xf numFmtId="168" fontId="8" fillId="2" borderId="18" xfId="0" applyNumberFormat="1" applyFont="1" applyFill="1" applyBorder="1" applyAlignment="1">
      <alignment horizontal="center"/>
    </xf>
    <xf numFmtId="170" fontId="0" fillId="2" borderId="18" xfId="0" applyNumberFormat="1" applyFill="1" applyBorder="1" applyAlignment="1">
      <alignment horizontal="center"/>
    </xf>
    <xf numFmtId="170" fontId="0" fillId="2" borderId="19" xfId="0" applyNumberFormat="1" applyFill="1" applyBorder="1" applyAlignment="1">
      <alignment horizontal="center"/>
    </xf>
    <xf numFmtId="3" fontId="8" fillId="2" borderId="2" xfId="0" applyNumberFormat="1" applyFont="1" applyFill="1" applyBorder="1" applyAlignment="1">
      <alignment horizontal="center"/>
    </xf>
    <xf numFmtId="4" fontId="8" fillId="2" borderId="7" xfId="0" applyNumberFormat="1" applyFont="1" applyFill="1" applyBorder="1" applyAlignment="1">
      <alignment horizontal="center"/>
    </xf>
    <xf numFmtId="0" fontId="0" fillId="2" borderId="8" xfId="0" applyFill="1" applyBorder="1" applyAlignment="1"/>
    <xf numFmtId="0" fontId="8" fillId="2" borderId="2" xfId="0" applyFont="1" applyFill="1" applyBorder="1"/>
    <xf numFmtId="0" fontId="8" fillId="2" borderId="7" xfId="0" applyFont="1" applyFill="1" applyBorder="1"/>
    <xf numFmtId="0" fontId="0" fillId="2" borderId="1" xfId="0" applyFill="1" applyBorder="1"/>
    <xf numFmtId="0" fontId="0" fillId="2" borderId="6" xfId="0" applyFill="1" applyBorder="1"/>
    <xf numFmtId="0" fontId="9" fillId="2" borderId="1" xfId="0" applyFont="1" applyFill="1" applyBorder="1" applyAlignment="1" applyProtection="1">
      <alignment horizontal="center"/>
    </xf>
    <xf numFmtId="0" fontId="10" fillId="2" borderId="2" xfId="0" applyFont="1" applyFill="1" applyBorder="1" applyAlignment="1" applyProtection="1">
      <alignment horizontal="center"/>
    </xf>
    <xf numFmtId="0" fontId="8" fillId="2" borderId="9" xfId="0" applyFont="1" applyFill="1" applyBorder="1" applyAlignment="1" applyProtection="1">
      <alignment horizontal="center"/>
    </xf>
    <xf numFmtId="0" fontId="8" fillId="2" borderId="10" xfId="0" applyFont="1" applyFill="1" applyBorder="1" applyAlignment="1" applyProtection="1">
      <alignment horizontal="center"/>
    </xf>
    <xf numFmtId="14" fontId="10" fillId="2" borderId="6" xfId="0" applyNumberFormat="1" applyFont="1" applyFill="1" applyBorder="1" applyProtection="1"/>
    <xf numFmtId="14" fontId="10" fillId="2" borderId="7" xfId="0" applyNumberFormat="1" applyFont="1" applyFill="1" applyBorder="1" applyProtection="1"/>
    <xf numFmtId="49" fontId="0" fillId="2" borderId="11" xfId="0" applyNumberFormat="1" applyFill="1" applyBorder="1" applyAlignment="1" applyProtection="1">
      <alignment horizontal="center"/>
    </xf>
    <xf numFmtId="0" fontId="0" fillId="2" borderId="12" xfId="0" applyNumberFormat="1" applyFill="1" applyBorder="1" applyAlignment="1" applyProtection="1">
      <alignment horizontal="center"/>
    </xf>
    <xf numFmtId="1" fontId="31" fillId="3" borderId="16" xfId="0" applyNumberFormat="1" applyFont="1" applyFill="1" applyBorder="1" applyAlignment="1" applyProtection="1">
      <alignment horizontal="center"/>
    </xf>
    <xf numFmtId="1" fontId="11" fillId="3" borderId="5" xfId="0" applyNumberFormat="1" applyFont="1" applyFill="1" applyBorder="1" applyAlignment="1" applyProtection="1">
      <alignment horizontal="center"/>
    </xf>
    <xf numFmtId="0" fontId="11" fillId="3" borderId="20" xfId="0" applyFont="1" applyFill="1" applyBorder="1" applyAlignment="1" applyProtection="1">
      <alignment horizontal="center" wrapText="1"/>
    </xf>
    <xf numFmtId="0" fontId="29" fillId="0" borderId="21" xfId="0" applyFont="1" applyBorder="1" applyAlignment="1" applyProtection="1">
      <alignment horizontal="center" wrapText="1"/>
    </xf>
    <xf numFmtId="0" fontId="11" fillId="3" borderId="22" xfId="0" applyFont="1" applyFill="1" applyBorder="1" applyAlignment="1" applyProtection="1">
      <alignment horizontal="center" wrapText="1"/>
    </xf>
    <xf numFmtId="0" fontId="29" fillId="0" borderId="23" xfId="0" applyFont="1" applyBorder="1" applyAlignment="1" applyProtection="1">
      <alignment horizontal="center" wrapText="1"/>
    </xf>
    <xf numFmtId="0" fontId="11" fillId="3" borderId="4" xfId="0" applyFont="1" applyFill="1" applyBorder="1" applyAlignment="1" applyProtection="1">
      <alignment horizontal="center" wrapText="1"/>
    </xf>
    <xf numFmtId="0" fontId="29" fillId="0" borderId="16" xfId="0" applyFont="1" applyBorder="1" applyAlignment="1" applyProtection="1">
      <alignment horizontal="center" wrapText="1"/>
    </xf>
    <xf numFmtId="0" fontId="0" fillId="0" borderId="0" xfId="0" applyProtection="1"/>
    <xf numFmtId="1" fontId="39" fillId="6" borderId="13" xfId="0" applyNumberFormat="1" applyFont="1" applyFill="1" applyBorder="1" applyAlignment="1" applyProtection="1">
      <alignment horizontal="center"/>
    </xf>
    <xf numFmtId="10" fontId="39" fillId="6" borderId="17" xfId="0" applyNumberFormat="1" applyFont="1" applyFill="1" applyBorder="1" applyAlignment="1" applyProtection="1">
      <alignment horizontal="center"/>
    </xf>
    <xf numFmtId="10" fontId="39" fillId="6" borderId="18" xfId="0" applyNumberFormat="1" applyFont="1" applyFill="1" applyBorder="1" applyAlignment="1" applyProtection="1">
      <alignment horizontal="center"/>
    </xf>
    <xf numFmtId="10" fontId="39" fillId="6" borderId="19" xfId="0" applyNumberFormat="1" applyFont="1" applyFill="1" applyBorder="1" applyAlignment="1" applyProtection="1">
      <alignment horizontal="center"/>
    </xf>
    <xf numFmtId="1" fontId="41" fillId="6" borderId="18" xfId="0" applyNumberFormat="1" applyFont="1" applyFill="1" applyBorder="1" applyAlignment="1" applyProtection="1">
      <alignment horizontal="center"/>
    </xf>
    <xf numFmtId="1" fontId="41" fillId="6" borderId="19" xfId="0" applyNumberFormat="1" applyFont="1" applyFill="1" applyBorder="1" applyAlignment="1" applyProtection="1">
      <alignment horizontal="center"/>
    </xf>
    <xf numFmtId="174" fontId="39" fillId="6" borderId="27" xfId="0" applyNumberFormat="1" applyFont="1" applyFill="1" applyBorder="1" applyAlignment="1" applyProtection="1">
      <alignment horizontal="center"/>
    </xf>
    <xf numFmtId="174" fontId="39" fillId="6" borderId="28" xfId="0" applyNumberFormat="1" applyFont="1" applyFill="1" applyBorder="1" applyAlignment="1" applyProtection="1">
      <alignment horizontal="center"/>
    </xf>
    <xf numFmtId="175" fontId="39" fillId="6" borderId="27" xfId="0" applyNumberFormat="1" applyFont="1" applyFill="1" applyBorder="1" applyAlignment="1" applyProtection="1">
      <alignment horizontal="center"/>
    </xf>
    <xf numFmtId="175" fontId="39" fillId="6" borderId="28" xfId="0" applyNumberFormat="1" applyFont="1" applyFill="1" applyBorder="1" applyAlignment="1" applyProtection="1">
      <alignment horizontal="center"/>
    </xf>
    <xf numFmtId="1" fontId="42" fillId="12" borderId="48" xfId="0" applyNumberFormat="1" applyFont="1" applyFill="1" applyBorder="1" applyAlignment="1" applyProtection="1">
      <alignment horizontal="center"/>
    </xf>
    <xf numFmtId="1" fontId="30" fillId="3" borderId="17" xfId="0" applyNumberFormat="1" applyFont="1" applyFill="1" applyBorder="1" applyAlignment="1" applyProtection="1">
      <alignment horizontal="center"/>
    </xf>
    <xf numFmtId="1" fontId="33" fillId="3" borderId="17" xfId="0" applyNumberFormat="1" applyFont="1" applyFill="1" applyBorder="1" applyAlignment="1" applyProtection="1">
      <alignment horizontal="center"/>
    </xf>
    <xf numFmtId="1" fontId="12" fillId="3" borderId="17" xfId="0" applyNumberFormat="1" applyFont="1" applyFill="1" applyBorder="1" applyAlignment="1" applyProtection="1">
      <alignment horizontal="center"/>
    </xf>
    <xf numFmtId="1" fontId="12" fillId="3" borderId="28" xfId="0" applyNumberFormat="1" applyFont="1" applyFill="1" applyBorder="1" applyAlignment="1" applyProtection="1">
      <alignment horizontal="center"/>
    </xf>
    <xf numFmtId="0" fontId="11" fillId="3" borderId="13" xfId="0" applyFont="1" applyFill="1" applyBorder="1" applyAlignment="1">
      <alignment horizontal="center" wrapText="1"/>
    </xf>
    <xf numFmtId="170" fontId="8" fillId="2" borderId="13" xfId="0" applyNumberFormat="1" applyFont="1" applyFill="1" applyBorder="1" applyAlignment="1">
      <alignment horizontal="center"/>
    </xf>
    <xf numFmtId="170" fontId="8" fillId="2" borderId="17" xfId="0" applyNumberFormat="1" applyFont="1" applyFill="1" applyBorder="1" applyAlignment="1">
      <alignment horizontal="center"/>
    </xf>
    <xf numFmtId="171" fontId="8" fillId="2" borderId="13" xfId="0" applyNumberFormat="1" applyFont="1" applyFill="1" applyBorder="1" applyAlignment="1">
      <alignment horizontal="center"/>
    </xf>
    <xf numFmtId="171" fontId="8" fillId="2" borderId="17" xfId="0" applyNumberFormat="1" applyFont="1" applyFill="1" applyBorder="1" applyAlignment="1">
      <alignment horizontal="center"/>
    </xf>
    <xf numFmtId="37" fontId="15" fillId="0" borderId="11" xfId="0" applyNumberFormat="1" applyFont="1" applyBorder="1" applyAlignment="1">
      <alignment horizontal="center"/>
    </xf>
    <xf numFmtId="0" fontId="4" fillId="0" borderId="0" xfId="0" applyFont="1"/>
    <xf numFmtId="1" fontId="8" fillId="13" borderId="13" xfId="0" applyNumberFormat="1" applyFont="1" applyFill="1" applyBorder="1" applyAlignment="1">
      <alignment horizontal="center"/>
    </xf>
    <xf numFmtId="171" fontId="8" fillId="13" borderId="17" xfId="0" applyNumberFormat="1" applyFont="1" applyFill="1" applyBorder="1" applyAlignment="1">
      <alignment horizontal="center"/>
    </xf>
    <xf numFmtId="170" fontId="8" fillId="13" borderId="18" xfId="0" applyNumberFormat="1" applyFont="1" applyFill="1" applyBorder="1" applyAlignment="1">
      <alignment horizontal="center"/>
    </xf>
    <xf numFmtId="170" fontId="8" fillId="13" borderId="19" xfId="0" applyNumberFormat="1" applyFont="1" applyFill="1" applyBorder="1" applyAlignment="1">
      <alignment horizontal="center"/>
    </xf>
    <xf numFmtId="170" fontId="8" fillId="13" borderId="17" xfId="0" applyNumberFormat="1" applyFont="1" applyFill="1" applyBorder="1" applyAlignment="1">
      <alignment horizontal="left"/>
    </xf>
    <xf numFmtId="170" fontId="44" fillId="0" borderId="25" xfId="0" applyNumberFormat="1" applyFont="1" applyFill="1" applyBorder="1" applyAlignment="1" applyProtection="1">
      <alignment horizontal="center"/>
      <protection locked="0"/>
    </xf>
    <xf numFmtId="170" fontId="45" fillId="0" borderId="21" xfId="0" applyNumberFormat="1" applyFont="1" applyFill="1" applyBorder="1" applyAlignment="1" applyProtection="1">
      <alignment horizontal="center"/>
      <protection locked="0"/>
    </xf>
    <xf numFmtId="170" fontId="45" fillId="0" borderId="9" xfId="0" applyNumberFormat="1" applyFont="1" applyFill="1" applyBorder="1" applyAlignment="1" applyProtection="1">
      <alignment horizontal="center"/>
      <protection locked="0"/>
    </xf>
    <xf numFmtId="170" fontId="45" fillId="0" borderId="10" xfId="0" applyNumberFormat="1" applyFont="1" applyFill="1" applyBorder="1" applyAlignment="1" applyProtection="1">
      <alignment horizontal="center"/>
      <protection locked="0"/>
    </xf>
    <xf numFmtId="170" fontId="44" fillId="0" borderId="21" xfId="0" applyNumberFormat="1" applyFont="1" applyFill="1" applyBorder="1" applyAlignment="1" applyProtection="1">
      <alignment horizontal="center"/>
      <protection locked="0"/>
    </xf>
    <xf numFmtId="170" fontId="45" fillId="0" borderId="40" xfId="0" applyNumberFormat="1" applyFont="1" applyFill="1" applyBorder="1" applyAlignment="1" applyProtection="1">
      <alignment horizontal="center"/>
      <protection locked="0"/>
    </xf>
    <xf numFmtId="170" fontId="45" fillId="0" borderId="25" xfId="0" applyNumberFormat="1" applyFont="1" applyFill="1" applyBorder="1" applyAlignment="1" applyProtection="1">
      <alignment horizontal="center"/>
      <protection locked="0"/>
    </xf>
    <xf numFmtId="170" fontId="45" fillId="0" borderId="11" xfId="0" applyNumberFormat="1" applyFont="1" applyFill="1" applyBorder="1" applyAlignment="1" applyProtection="1">
      <alignment horizontal="center"/>
      <protection locked="0"/>
    </xf>
    <xf numFmtId="170" fontId="44" fillId="0" borderId="9" xfId="0" applyNumberFormat="1" applyFont="1" applyFill="1" applyBorder="1" applyAlignment="1" applyProtection="1">
      <alignment horizontal="center"/>
      <protection locked="0"/>
    </xf>
    <xf numFmtId="170" fontId="45" fillId="0" borderId="23" xfId="0" applyNumberFormat="1" applyFont="1" applyFill="1" applyBorder="1" applyAlignment="1" applyProtection="1">
      <alignment horizontal="center"/>
      <protection locked="0"/>
    </xf>
    <xf numFmtId="170" fontId="45" fillId="0" borderId="41" xfId="0" applyNumberFormat="1" applyFont="1" applyFill="1" applyBorder="1" applyAlignment="1" applyProtection="1">
      <alignment horizontal="center"/>
      <protection locked="0"/>
    </xf>
    <xf numFmtId="170" fontId="44" fillId="0" borderId="11" xfId="0" applyNumberFormat="1" applyFont="1" applyFill="1" applyBorder="1" applyAlignment="1" applyProtection="1">
      <alignment horizontal="center"/>
      <protection locked="0"/>
    </xf>
    <xf numFmtId="170" fontId="45" fillId="0" borderId="43" xfId="0" applyNumberFormat="1" applyFont="1" applyFill="1" applyBorder="1" applyAlignment="1" applyProtection="1">
      <alignment horizontal="center" wrapText="1"/>
      <protection locked="0"/>
    </xf>
    <xf numFmtId="170" fontId="45" fillId="0" borderId="46" xfId="0" applyNumberFormat="1" applyFont="1" applyFill="1" applyBorder="1" applyAlignment="1" applyProtection="1">
      <alignment horizontal="center" wrapText="1"/>
      <protection locked="0"/>
    </xf>
    <xf numFmtId="170" fontId="45" fillId="0" borderId="47" xfId="0" applyNumberFormat="1" applyFont="1" applyFill="1" applyBorder="1" applyAlignment="1" applyProtection="1">
      <alignment horizontal="center" wrapText="1"/>
      <protection locked="0"/>
    </xf>
    <xf numFmtId="170" fontId="45" fillId="0" borderId="46" xfId="0" applyNumberFormat="1" applyFont="1" applyFill="1" applyBorder="1" applyAlignment="1" applyProtection="1">
      <alignment horizontal="center"/>
      <protection locked="0"/>
    </xf>
    <xf numFmtId="170" fontId="45" fillId="0" borderId="11" xfId="0" applyNumberFormat="1" applyFont="1" applyFill="1" applyBorder="1" applyAlignment="1" applyProtection="1">
      <alignment horizontal="center" wrapText="1"/>
      <protection locked="0"/>
    </xf>
    <xf numFmtId="170" fontId="44" fillId="0" borderId="12" xfId="0" applyNumberFormat="1" applyFont="1" applyFill="1" applyBorder="1" applyAlignment="1" applyProtection="1">
      <alignment horizontal="center" wrapText="1"/>
      <protection locked="0"/>
    </xf>
    <xf numFmtId="170" fontId="45" fillId="0" borderId="21" xfId="0" applyNumberFormat="1" applyFont="1" applyFill="1" applyBorder="1" applyAlignment="1" applyProtection="1">
      <alignment horizontal="center" wrapText="1"/>
      <protection locked="0"/>
    </xf>
    <xf numFmtId="170" fontId="45" fillId="0" borderId="40" xfId="0" applyNumberFormat="1" applyFont="1" applyFill="1" applyBorder="1" applyAlignment="1" applyProtection="1">
      <alignment horizontal="center" wrapText="1"/>
      <protection locked="0"/>
    </xf>
    <xf numFmtId="170" fontId="45" fillId="0" borderId="23" xfId="0" applyNumberFormat="1" applyFont="1" applyFill="1" applyBorder="1" applyAlignment="1" applyProtection="1">
      <alignment horizontal="center" wrapText="1"/>
      <protection locked="0"/>
    </xf>
    <xf numFmtId="170" fontId="44" fillId="0" borderId="46" xfId="0" applyNumberFormat="1" applyFont="1" applyFill="1" applyBorder="1" applyAlignment="1" applyProtection="1">
      <alignment horizontal="center" wrapText="1"/>
      <protection locked="0"/>
    </xf>
    <xf numFmtId="170" fontId="45" fillId="0" borderId="41" xfId="0" applyNumberFormat="1" applyFont="1" applyFill="1" applyBorder="1" applyAlignment="1" applyProtection="1">
      <alignment horizontal="center" wrapText="1"/>
      <protection locked="0"/>
    </xf>
    <xf numFmtId="170" fontId="45" fillId="0" borderId="47" xfId="0" applyNumberFormat="1" applyFont="1" applyFill="1" applyBorder="1" applyAlignment="1" applyProtection="1">
      <alignment horizontal="center"/>
      <protection locked="0"/>
    </xf>
    <xf numFmtId="170" fontId="45" fillId="0" borderId="12" xfId="0" applyNumberFormat="1" applyFont="1" applyFill="1" applyBorder="1" applyAlignment="1" applyProtection="1">
      <alignment horizontal="center"/>
      <protection locked="0"/>
    </xf>
    <xf numFmtId="170" fontId="45" fillId="0" borderId="29" xfId="0" applyNumberFormat="1" applyFont="1" applyFill="1" applyBorder="1" applyAlignment="1" applyProtection="1">
      <alignment horizontal="center"/>
      <protection locked="0"/>
    </xf>
    <xf numFmtId="170" fontId="45" fillId="0" borderId="44" xfId="0" applyNumberFormat="1" applyFont="1" applyFill="1" applyBorder="1" applyAlignment="1" applyProtection="1">
      <alignment horizontal="center" wrapText="1"/>
      <protection locked="0"/>
    </xf>
    <xf numFmtId="170" fontId="4" fillId="13" borderId="18" xfId="0" applyNumberFormat="1" applyFont="1" applyFill="1" applyBorder="1" applyAlignment="1">
      <alignment horizontal="center"/>
    </xf>
    <xf numFmtId="0" fontId="4" fillId="0" borderId="0" xfId="8"/>
    <xf numFmtId="0" fontId="47" fillId="0" borderId="0" xfId="8" applyFont="1"/>
    <xf numFmtId="0" fontId="48" fillId="0" borderId="0" xfId="8" applyFont="1"/>
    <xf numFmtId="0" fontId="49" fillId="0" borderId="0" xfId="8" applyFont="1"/>
    <xf numFmtId="3" fontId="34" fillId="5" borderId="0" xfId="124" applyNumberFormat="1" applyFont="1" applyFill="1" applyAlignment="1">
      <alignment horizontal="center"/>
    </xf>
    <xf numFmtId="0" fontId="8" fillId="0" borderId="0" xfId="8" applyFont="1" applyAlignment="1">
      <alignment horizontal="left"/>
    </xf>
    <xf numFmtId="49" fontId="48" fillId="15" borderId="50" xfId="8" applyNumberFormat="1" applyFont="1" applyFill="1" applyBorder="1" applyAlignment="1">
      <alignment horizontal="center"/>
    </xf>
    <xf numFmtId="170" fontId="4" fillId="15" borderId="1" xfId="8" applyNumberFormat="1" applyFill="1" applyBorder="1" applyAlignment="1">
      <alignment horizontal="center"/>
    </xf>
    <xf numFmtId="176" fontId="51" fillId="15" borderId="3" xfId="6" applyNumberFormat="1" applyFont="1" applyFill="1" applyBorder="1" applyAlignment="1">
      <alignment horizontal="center"/>
    </xf>
    <xf numFmtId="170" fontId="4" fillId="0" borderId="0" xfId="8" applyNumberFormat="1"/>
    <xf numFmtId="170" fontId="4" fillId="16" borderId="0" xfId="8" applyNumberFormat="1" applyFill="1"/>
    <xf numFmtId="176" fontId="52" fillId="6" borderId="3" xfId="6" applyNumberFormat="1" applyFont="1" applyFill="1" applyBorder="1" applyAlignment="1">
      <alignment horizontal="center"/>
    </xf>
    <xf numFmtId="10" fontId="42" fillId="15" borderId="4" xfId="8" applyNumberFormat="1" applyFont="1" applyFill="1" applyBorder="1" applyAlignment="1">
      <alignment horizontal="center"/>
    </xf>
    <xf numFmtId="170" fontId="42" fillId="15" borderId="5" xfId="8" applyNumberFormat="1" applyFont="1" applyFill="1" applyBorder="1"/>
    <xf numFmtId="170" fontId="42" fillId="0" borderId="0" xfId="8" applyNumberFormat="1" applyFont="1"/>
    <xf numFmtId="170" fontId="42" fillId="16" borderId="0" xfId="8" applyNumberFormat="1" applyFont="1" applyFill="1"/>
    <xf numFmtId="170" fontId="35" fillId="15" borderId="5" xfId="8" applyNumberFormat="1" applyFont="1" applyFill="1" applyBorder="1"/>
    <xf numFmtId="170" fontId="4" fillId="15" borderId="5" xfId="8" applyNumberFormat="1" applyFill="1" applyBorder="1"/>
    <xf numFmtId="10" fontId="30" fillId="6" borderId="4" xfId="8" applyNumberFormat="1" applyFont="1" applyFill="1" applyBorder="1" applyAlignment="1">
      <alignment horizontal="center"/>
    </xf>
    <xf numFmtId="0" fontId="8" fillId="15" borderId="51" xfId="8" applyFont="1" applyFill="1" applyBorder="1" applyAlignment="1">
      <alignment horizontal="center"/>
    </xf>
    <xf numFmtId="0" fontId="8" fillId="15" borderId="4" xfId="8" applyFont="1" applyFill="1" applyBorder="1" applyAlignment="1">
      <alignment horizontal="center"/>
    </xf>
    <xf numFmtId="0" fontId="8" fillId="15" borderId="5" xfId="8" applyFont="1" applyFill="1" applyBorder="1" applyAlignment="1">
      <alignment horizontal="center"/>
    </xf>
    <xf numFmtId="10" fontId="8" fillId="0" borderId="0" xfId="8" applyNumberFormat="1" applyFont="1"/>
    <xf numFmtId="10" fontId="8" fillId="15" borderId="5" xfId="8" applyNumberFormat="1" applyFont="1" applyFill="1" applyBorder="1" applyAlignment="1">
      <alignment horizontal="center"/>
    </xf>
    <xf numFmtId="10" fontId="8" fillId="16" borderId="0" xfId="8" applyNumberFormat="1" applyFont="1" applyFill="1"/>
    <xf numFmtId="10" fontId="30" fillId="6" borderId="5" xfId="8" applyNumberFormat="1" applyFont="1" applyFill="1" applyBorder="1" applyAlignment="1">
      <alignment horizontal="center"/>
    </xf>
    <xf numFmtId="176" fontId="8" fillId="15" borderId="52" xfId="8" applyNumberFormat="1" applyFont="1" applyFill="1" applyBorder="1" applyAlignment="1">
      <alignment horizontal="center"/>
    </xf>
    <xf numFmtId="0" fontId="4" fillId="0" borderId="0" xfId="8" applyAlignment="1">
      <alignment horizontal="center"/>
    </xf>
    <xf numFmtId="0" fontId="30" fillId="6" borderId="6" xfId="8" applyFont="1" applyFill="1" applyBorder="1" applyAlignment="1">
      <alignment horizontal="center"/>
    </xf>
    <xf numFmtId="0" fontId="15" fillId="0" borderId="51" xfId="8" applyFont="1" applyBorder="1"/>
    <xf numFmtId="0" fontId="4" fillId="0" borderId="4" xfId="8" applyBorder="1"/>
    <xf numFmtId="10" fontId="4" fillId="0" borderId="5" xfId="8" applyNumberFormat="1" applyBorder="1"/>
    <xf numFmtId="0" fontId="4" fillId="16" borderId="0" xfId="8" applyFill="1"/>
    <xf numFmtId="0" fontId="4" fillId="11" borderId="4" xfId="8" applyFill="1" applyBorder="1"/>
    <xf numFmtId="10" fontId="4" fillId="11" borderId="5" xfId="8" applyNumberFormat="1" applyFill="1" applyBorder="1"/>
    <xf numFmtId="0" fontId="16" fillId="5" borderId="4" xfId="8" applyFont="1" applyFill="1" applyBorder="1"/>
    <xf numFmtId="10" fontId="16" fillId="5" borderId="5" xfId="8" applyNumberFormat="1" applyFont="1" applyFill="1" applyBorder="1"/>
    <xf numFmtId="0" fontId="34" fillId="0" borderId="0" xfId="8" applyFont="1"/>
    <xf numFmtId="167" fontId="50" fillId="7" borderId="1" xfId="8" applyNumberFormat="1" applyFont="1" applyFill="1" applyBorder="1" applyProtection="1">
      <protection locked="0"/>
    </xf>
    <xf numFmtId="10" fontId="4" fillId="7" borderId="3" xfId="8" applyNumberFormat="1" applyFill="1" applyBorder="1"/>
    <xf numFmtId="0" fontId="4" fillId="0" borderId="51" xfId="8" applyBorder="1"/>
    <xf numFmtId="167" fontId="4" fillId="0" borderId="4" xfId="8" applyNumberFormat="1" applyBorder="1"/>
    <xf numFmtId="167" fontId="4" fillId="0" borderId="0" xfId="8" applyNumberFormat="1"/>
    <xf numFmtId="166" fontId="0" fillId="11" borderId="4" xfId="6" applyNumberFormat="1" applyFont="1" applyFill="1" applyBorder="1" applyAlignment="1">
      <alignment horizontal="center"/>
    </xf>
    <xf numFmtId="167" fontId="42" fillId="5" borderId="4" xfId="6" applyFont="1" applyFill="1" applyBorder="1" applyAlignment="1">
      <alignment horizontal="center"/>
    </xf>
    <xf numFmtId="10" fontId="13" fillId="5" borderId="5" xfId="8" applyNumberFormat="1" applyFont="1" applyFill="1" applyBorder="1" applyProtection="1">
      <protection locked="0"/>
    </xf>
    <xf numFmtId="167" fontId="50" fillId="7" borderId="4" xfId="8" applyNumberFormat="1" applyFont="1" applyFill="1" applyBorder="1" applyProtection="1">
      <protection locked="0"/>
    </xf>
    <xf numFmtId="10" fontId="4" fillId="7" borderId="5" xfId="8" applyNumberFormat="1" applyFill="1" applyBorder="1"/>
    <xf numFmtId="0" fontId="4" fillId="0" borderId="53" xfId="8" applyBorder="1"/>
    <xf numFmtId="0" fontId="4" fillId="7" borderId="0" xfId="8" applyFill="1"/>
    <xf numFmtId="0" fontId="55" fillId="0" borderId="0" xfId="8" applyFont="1"/>
    <xf numFmtId="10" fontId="54" fillId="17" borderId="5" xfId="8" applyNumberFormat="1" applyFont="1" applyFill="1" applyBorder="1"/>
    <xf numFmtId="0" fontId="55" fillId="16" borderId="0" xfId="8" applyFont="1" applyFill="1"/>
    <xf numFmtId="0" fontId="54" fillId="0" borderId="0" xfId="8" applyFont="1"/>
    <xf numFmtId="166" fontId="54" fillId="17" borderId="4" xfId="6" applyNumberFormat="1" applyFont="1" applyFill="1" applyBorder="1"/>
    <xf numFmtId="167" fontId="30" fillId="6" borderId="4" xfId="6" applyFont="1" applyFill="1" applyBorder="1"/>
    <xf numFmtId="10" fontId="30" fillId="6" borderId="5" xfId="8" applyNumberFormat="1" applyFont="1" applyFill="1" applyBorder="1"/>
    <xf numFmtId="0" fontId="4" fillId="0" borderId="55" xfId="8" applyBorder="1"/>
    <xf numFmtId="167" fontId="0" fillId="0" borderId="4" xfId="6" applyFont="1" applyBorder="1"/>
    <xf numFmtId="166" fontId="4" fillId="11" borderId="4" xfId="6" applyNumberFormat="1" applyFont="1" applyFill="1" applyBorder="1"/>
    <xf numFmtId="167" fontId="4" fillId="5" borderId="4" xfId="6" applyFont="1" applyFill="1" applyBorder="1"/>
    <xf numFmtId="10" fontId="4" fillId="5" borderId="5" xfId="8" applyNumberFormat="1" applyFill="1" applyBorder="1"/>
    <xf numFmtId="0" fontId="35" fillId="7" borderId="56" xfId="8" applyFont="1" applyFill="1" applyBorder="1"/>
    <xf numFmtId="0" fontId="42" fillId="7" borderId="57" xfId="8" applyFont="1" applyFill="1" applyBorder="1"/>
    <xf numFmtId="167" fontId="4" fillId="7" borderId="58" xfId="6" applyFont="1" applyFill="1" applyBorder="1"/>
    <xf numFmtId="10" fontId="4" fillId="7" borderId="59" xfId="8" applyNumberFormat="1" applyFill="1" applyBorder="1"/>
    <xf numFmtId="0" fontId="4" fillId="7" borderId="57" xfId="8" applyFill="1" applyBorder="1"/>
    <xf numFmtId="166" fontId="4" fillId="11" borderId="58" xfId="6" applyNumberFormat="1" applyFont="1" applyFill="1" applyBorder="1"/>
    <xf numFmtId="10" fontId="4" fillId="11" borderId="59" xfId="8" applyNumberFormat="1" applyFill="1" applyBorder="1"/>
    <xf numFmtId="167" fontId="0" fillId="5" borderId="58" xfId="6" applyFont="1" applyFill="1" applyBorder="1"/>
    <xf numFmtId="10" fontId="13" fillId="5" borderId="59" xfId="8" applyNumberFormat="1" applyFont="1" applyFill="1" applyBorder="1" applyProtection="1">
      <protection locked="0"/>
    </xf>
    <xf numFmtId="0" fontId="8" fillId="0" borderId="51" xfId="8" applyFont="1" applyBorder="1"/>
    <xf numFmtId="167" fontId="56" fillId="0" borderId="4" xfId="6" applyFont="1" applyFill="1" applyBorder="1"/>
    <xf numFmtId="167" fontId="0" fillId="0" borderId="4" xfId="6" applyFont="1" applyFill="1" applyBorder="1"/>
    <xf numFmtId="167" fontId="4" fillId="0" borderId="4" xfId="6" applyFont="1" applyFill="1" applyBorder="1"/>
    <xf numFmtId="0" fontId="4" fillId="0" borderId="60" xfId="8" applyBorder="1"/>
    <xf numFmtId="165" fontId="0" fillId="0" borderId="61" xfId="6" applyNumberFormat="1" applyFont="1" applyFill="1" applyBorder="1"/>
    <xf numFmtId="10" fontId="4" fillId="0" borderId="54" xfId="8" applyNumberFormat="1" applyBorder="1"/>
    <xf numFmtId="10" fontId="4" fillId="11" borderId="54" xfId="8" applyNumberFormat="1" applyFill="1" applyBorder="1"/>
    <xf numFmtId="10" fontId="4" fillId="5" borderId="54" xfId="8" applyNumberFormat="1" applyFill="1" applyBorder="1"/>
    <xf numFmtId="0" fontId="8" fillId="0" borderId="56" xfId="8" applyFont="1" applyBorder="1"/>
    <xf numFmtId="0" fontId="8" fillId="0" borderId="57" xfId="8" applyFont="1" applyBorder="1"/>
    <xf numFmtId="167" fontId="8" fillId="0" borderId="58" xfId="6" applyFont="1" applyBorder="1"/>
    <xf numFmtId="10" fontId="8" fillId="0" borderId="59" xfId="8" applyNumberFormat="1" applyFont="1" applyBorder="1"/>
    <xf numFmtId="0" fontId="8" fillId="16" borderId="57" xfId="8" applyFont="1" applyFill="1" applyBorder="1"/>
    <xf numFmtId="166" fontId="8" fillId="11" borderId="62" xfId="6" applyNumberFormat="1" applyFont="1" applyFill="1" applyBorder="1"/>
    <xf numFmtId="10" fontId="8" fillId="11" borderId="59" xfId="8" applyNumberFormat="1" applyFont="1" applyFill="1" applyBorder="1"/>
    <xf numFmtId="167" fontId="8" fillId="5" borderId="62" xfId="6" applyFont="1" applyFill="1" applyBorder="1"/>
    <xf numFmtId="167" fontId="34" fillId="0" borderId="13" xfId="8" applyNumberFormat="1" applyFont="1" applyBorder="1"/>
    <xf numFmtId="10" fontId="34" fillId="0" borderId="28" xfId="8" applyNumberFormat="1" applyFont="1" applyBorder="1"/>
    <xf numFmtId="166" fontId="8" fillId="11" borderId="58" xfId="6" applyNumberFormat="1" applyFont="1" applyFill="1" applyBorder="1"/>
    <xf numFmtId="0" fontId="8" fillId="0" borderId="0" xfId="8" applyFont="1"/>
    <xf numFmtId="167" fontId="8" fillId="5" borderId="58" xfId="6" applyFont="1" applyFill="1" applyBorder="1"/>
    <xf numFmtId="10" fontId="8" fillId="5" borderId="59" xfId="8" applyNumberFormat="1" applyFont="1" applyFill="1" applyBorder="1"/>
    <xf numFmtId="0" fontId="54" fillId="17" borderId="51" xfId="8" applyFont="1" applyFill="1" applyBorder="1"/>
    <xf numFmtId="167" fontId="54" fillId="17" borderId="4" xfId="6" applyFont="1" applyFill="1" applyBorder="1"/>
    <xf numFmtId="167" fontId="4" fillId="7" borderId="4" xfId="6" applyFont="1" applyFill="1" applyBorder="1"/>
    <xf numFmtId="167" fontId="4" fillId="0" borderId="0" xfId="6" applyFont="1" applyFill="1" applyBorder="1"/>
    <xf numFmtId="0" fontId="4" fillId="7" borderId="51" xfId="8" applyFill="1" applyBorder="1"/>
    <xf numFmtId="167" fontId="4" fillId="7" borderId="0" xfId="6" applyFont="1" applyFill="1" applyBorder="1"/>
    <xf numFmtId="167" fontId="4" fillId="0" borderId="4" xfId="6" applyFont="1" applyBorder="1"/>
    <xf numFmtId="0" fontId="4" fillId="0" borderId="57" xfId="8" applyBorder="1"/>
    <xf numFmtId="10" fontId="8" fillId="0" borderId="59" xfId="6" applyNumberFormat="1" applyFont="1" applyBorder="1"/>
    <xf numFmtId="167" fontId="0" fillId="0" borderId="57" xfId="6" applyFont="1" applyBorder="1"/>
    <xf numFmtId="10" fontId="8" fillId="0" borderId="59" xfId="6" applyNumberFormat="1" applyFont="1" applyBorder="1" applyProtection="1"/>
    <xf numFmtId="167" fontId="4" fillId="0" borderId="57" xfId="6" applyFont="1" applyFill="1" applyBorder="1"/>
    <xf numFmtId="0" fontId="4" fillId="16" borderId="57" xfId="8" applyFill="1" applyBorder="1"/>
    <xf numFmtId="10" fontId="8" fillId="11" borderId="59" xfId="6" applyNumberFormat="1" applyFont="1" applyFill="1" applyBorder="1"/>
    <xf numFmtId="10" fontId="13" fillId="5" borderId="59" xfId="6" applyNumberFormat="1" applyFont="1" applyFill="1" applyBorder="1" applyProtection="1">
      <protection locked="0"/>
    </xf>
    <xf numFmtId="167" fontId="0" fillId="5" borderId="4" xfId="6" applyFont="1" applyFill="1" applyBorder="1"/>
    <xf numFmtId="0" fontId="55" fillId="0" borderId="51" xfId="8" applyFont="1" applyBorder="1"/>
    <xf numFmtId="0" fontId="54" fillId="16" borderId="0" xfId="8" applyFont="1" applyFill="1"/>
    <xf numFmtId="166" fontId="4" fillId="11" borderId="61" xfId="6" applyNumberFormat="1" applyFont="1" applyFill="1" applyBorder="1"/>
    <xf numFmtId="167" fontId="4" fillId="5" borderId="61" xfId="6" applyFont="1" applyFill="1" applyBorder="1"/>
    <xf numFmtId="0" fontId="54" fillId="17" borderId="52" xfId="8" applyFont="1" applyFill="1" applyBorder="1"/>
    <xf numFmtId="167" fontId="54" fillId="17" borderId="6" xfId="6" applyFont="1" applyFill="1" applyBorder="1"/>
    <xf numFmtId="10" fontId="54" fillId="17" borderId="8" xfId="8" applyNumberFormat="1" applyFont="1" applyFill="1" applyBorder="1"/>
    <xf numFmtId="166" fontId="54" fillId="17" borderId="6" xfId="6" applyNumberFormat="1" applyFont="1" applyFill="1" applyBorder="1"/>
    <xf numFmtId="167" fontId="30" fillId="6" borderId="6" xfId="6" applyFont="1" applyFill="1" applyBorder="1"/>
    <xf numFmtId="10" fontId="30" fillId="6" borderId="8" xfId="8" applyNumberFormat="1" applyFont="1" applyFill="1" applyBorder="1"/>
    <xf numFmtId="0" fontId="8" fillId="5" borderId="13" xfId="8" applyFont="1" applyFill="1" applyBorder="1"/>
    <xf numFmtId="9" fontId="13" fillId="5" borderId="28" xfId="8" applyNumberFormat="1" applyFont="1" applyFill="1" applyBorder="1" applyAlignment="1" applyProtection="1">
      <alignment horizontal="center"/>
      <protection locked="0"/>
    </xf>
    <xf numFmtId="165" fontId="34" fillId="5" borderId="0" xfId="124" applyNumberFormat="1" applyFont="1" applyFill="1" applyAlignment="1">
      <alignment horizontal="center"/>
    </xf>
    <xf numFmtId="165" fontId="38" fillId="5" borderId="0" xfId="124" applyNumberFormat="1" applyFont="1" applyFill="1" applyAlignment="1" applyProtection="1">
      <alignment horizontal="center"/>
      <protection locked="0"/>
    </xf>
    <xf numFmtId="1" fontId="57" fillId="0" borderId="25" xfId="0" applyNumberFormat="1" applyFont="1" applyBorder="1" applyAlignment="1">
      <alignment horizontal="center"/>
    </xf>
    <xf numFmtId="1" fontId="57" fillId="0" borderId="11" xfId="0" applyNumberFormat="1" applyFont="1" applyBorder="1" applyAlignment="1">
      <alignment horizontal="center"/>
    </xf>
    <xf numFmtId="1" fontId="35" fillId="2" borderId="48" xfId="0" applyNumberFormat="1" applyFont="1" applyFill="1" applyBorder="1" applyAlignment="1" applyProtection="1">
      <alignment horizontal="center"/>
    </xf>
    <xf numFmtId="10" fontId="4" fillId="0" borderId="5" xfId="8" applyNumberFormat="1" applyFont="1" applyBorder="1"/>
    <xf numFmtId="0" fontId="16" fillId="2" borderId="11" xfId="0" applyNumberFormat="1" applyFont="1" applyFill="1" applyBorder="1" applyAlignment="1">
      <alignment horizontal="center"/>
    </xf>
    <xf numFmtId="0" fontId="16" fillId="2" borderId="12" xfId="0" applyNumberFormat="1" applyFont="1" applyFill="1" applyBorder="1" applyAlignment="1">
      <alignment horizontal="center"/>
    </xf>
    <xf numFmtId="0" fontId="8" fillId="15" borderId="6" xfId="8" applyNumberFormat="1" applyFont="1" applyFill="1" applyBorder="1" applyAlignment="1">
      <alignment horizontal="center"/>
    </xf>
    <xf numFmtId="0" fontId="4" fillId="15" borderId="8" xfId="8" applyNumberFormat="1" applyFill="1" applyBorder="1" applyAlignment="1">
      <alignment horizontal="center"/>
    </xf>
    <xf numFmtId="0" fontId="4" fillId="0" borderId="0" xfId="8" applyNumberFormat="1" applyAlignment="1">
      <alignment horizontal="center"/>
    </xf>
    <xf numFmtId="0" fontId="8" fillId="0" borderId="0" xfId="8" applyNumberFormat="1" applyFont="1" applyAlignment="1">
      <alignment horizontal="center"/>
    </xf>
    <xf numFmtId="0" fontId="4" fillId="16" borderId="0" xfId="8" applyNumberFormat="1" applyFill="1" applyAlignment="1">
      <alignment horizontal="center"/>
    </xf>
    <xf numFmtId="10" fontId="35" fillId="15" borderId="4" xfId="8" applyNumberFormat="1" applyFont="1" applyFill="1" applyBorder="1" applyAlignment="1">
      <alignment horizontal="center"/>
    </xf>
    <xf numFmtId="3" fontId="35" fillId="14" borderId="51" xfId="8" applyNumberFormat="1" applyFont="1" applyFill="1" applyBorder="1" applyAlignment="1" applyProtection="1">
      <alignment horizontal="center"/>
    </xf>
    <xf numFmtId="0" fontId="29" fillId="0" borderId="26" xfId="0" applyFont="1" applyBorder="1" applyAlignment="1">
      <alignment horizontal="center" wrapText="1"/>
    </xf>
    <xf numFmtId="171" fontId="35" fillId="2" borderId="17" xfId="0" applyNumberFormat="1" applyFont="1" applyFill="1" applyBorder="1" applyAlignment="1">
      <alignment horizontal="center"/>
    </xf>
    <xf numFmtId="0" fontId="29" fillId="0" borderId="21" xfId="0" applyFont="1" applyBorder="1" applyAlignment="1" applyProtection="1">
      <alignment horizontal="center" wrapText="1"/>
      <protection locked="0"/>
    </xf>
    <xf numFmtId="0" fontId="29" fillId="0" borderId="11" xfId="0" applyFont="1" applyBorder="1" applyAlignment="1">
      <alignment horizontal="center" wrapText="1"/>
    </xf>
    <xf numFmtId="1" fontId="15" fillId="0" borderId="25" xfId="0" applyNumberFormat="1" applyFont="1" applyBorder="1" applyAlignment="1" applyProtection="1">
      <alignment horizontal="center"/>
    </xf>
    <xf numFmtId="1" fontId="15" fillId="0" borderId="11" xfId="0" applyNumberFormat="1" applyFont="1" applyBorder="1" applyAlignment="1" applyProtection="1">
      <alignment horizontal="center"/>
    </xf>
    <xf numFmtId="0" fontId="2" fillId="18" borderId="0" xfId="124" applyFill="1"/>
    <xf numFmtId="0" fontId="36" fillId="18" borderId="0" xfId="124" applyFont="1" applyFill="1" applyAlignment="1">
      <alignment horizontal="center"/>
    </xf>
    <xf numFmtId="0" fontId="37" fillId="18" borderId="0" xfId="124" applyFont="1" applyFill="1" applyAlignment="1">
      <alignment horizontal="center"/>
    </xf>
    <xf numFmtId="0" fontId="4" fillId="18" borderId="0" xfId="8" applyFill="1"/>
    <xf numFmtId="0" fontId="43" fillId="18" borderId="0" xfId="124" applyFont="1" applyFill="1" applyAlignment="1">
      <alignment horizontal="center"/>
    </xf>
    <xf numFmtId="0" fontId="2" fillId="18" borderId="0" xfId="124" applyFill="1" applyAlignment="1">
      <alignment horizontal="center"/>
    </xf>
    <xf numFmtId="0" fontId="59" fillId="0" borderId="0" xfId="8" applyFont="1"/>
    <xf numFmtId="39" fontId="38" fillId="5" borderId="0" xfId="124" applyNumberFormat="1" applyFont="1" applyFill="1" applyAlignment="1" applyProtection="1">
      <alignment horizontal="center"/>
      <protection locked="0"/>
    </xf>
    <xf numFmtId="1" fontId="13" fillId="0" borderId="63" xfId="0" applyNumberFormat="1" applyFont="1" applyBorder="1" applyAlignment="1" applyProtection="1">
      <alignment horizontal="center"/>
      <protection locked="0"/>
    </xf>
    <xf numFmtId="10" fontId="8" fillId="0" borderId="0" xfId="8" applyNumberFormat="1" applyFont="1" applyAlignment="1">
      <alignment horizontal="center"/>
    </xf>
    <xf numFmtId="167" fontId="4" fillId="0" borderId="0" xfId="8" applyNumberFormat="1"/>
    <xf numFmtId="0" fontId="15" fillId="14" borderId="51" xfId="8" applyFont="1" applyFill="1" applyBorder="1" applyAlignment="1">
      <alignment horizontal="center"/>
    </xf>
    <xf numFmtId="10" fontId="4" fillId="0" borderId="0" xfId="8" applyNumberFormat="1"/>
    <xf numFmtId="167" fontId="0" fillId="0" borderId="4" xfId="125" applyFont="1" applyBorder="1"/>
    <xf numFmtId="10" fontId="16" fillId="0" borderId="5" xfId="8" applyNumberFormat="1" applyFont="1" applyBorder="1" applyProtection="1">
      <protection locked="0"/>
    </xf>
    <xf numFmtId="167" fontId="4" fillId="11" borderId="4" xfId="125" applyFont="1" applyFill="1" applyBorder="1"/>
    <xf numFmtId="0" fontId="65" fillId="0" borderId="0" xfId="8" applyFont="1"/>
    <xf numFmtId="167" fontId="65" fillId="17" borderId="4" xfId="125" applyFont="1" applyFill="1" applyBorder="1"/>
    <xf numFmtId="10" fontId="66" fillId="17" borderId="5" xfId="11" applyNumberFormat="1" applyFont="1" applyFill="1" applyBorder="1"/>
    <xf numFmtId="0" fontId="66" fillId="16" borderId="0" xfId="8" applyFont="1" applyFill="1"/>
    <xf numFmtId="0" fontId="66" fillId="0" borderId="0" xfId="8" applyFont="1"/>
    <xf numFmtId="167" fontId="4" fillId="0" borderId="4" xfId="125" applyFont="1" applyBorder="1"/>
    <xf numFmtId="167" fontId="4" fillId="0" borderId="58" xfId="125" applyFont="1" applyBorder="1"/>
    <xf numFmtId="10" fontId="4" fillId="0" borderId="59" xfId="8" applyNumberFormat="1" applyBorder="1"/>
    <xf numFmtId="167" fontId="4" fillId="11" borderId="58" xfId="125" applyFont="1" applyFill="1" applyBorder="1"/>
    <xf numFmtId="167" fontId="4" fillId="0" borderId="61" xfId="125" applyFont="1" applyBorder="1"/>
    <xf numFmtId="0" fontId="8" fillId="7" borderId="0" xfId="8" applyFont="1" applyFill="1"/>
    <xf numFmtId="0" fontId="4" fillId="0" borderId="0" xfId="8" applyNumberFormat="1"/>
    <xf numFmtId="0" fontId="4" fillId="7" borderId="0" xfId="8" applyFill="1" applyProtection="1">
      <protection hidden="1"/>
    </xf>
    <xf numFmtId="0" fontId="2" fillId="2" borderId="2" xfId="124" applyFill="1" applyBorder="1"/>
    <xf numFmtId="0" fontId="2" fillId="2" borderId="0" xfId="124" applyFill="1" applyBorder="1"/>
    <xf numFmtId="0" fontId="36" fillId="2" borderId="0" xfId="124" applyFont="1" applyFill="1" applyBorder="1" applyAlignment="1">
      <alignment horizontal="center"/>
    </xf>
    <xf numFmtId="0" fontId="37" fillId="2" borderId="0" xfId="124" applyFont="1" applyFill="1" applyBorder="1" applyAlignment="1">
      <alignment horizontal="center"/>
    </xf>
    <xf numFmtId="0" fontId="4" fillId="2" borderId="0" xfId="8" applyFill="1" applyBorder="1"/>
    <xf numFmtId="0" fontId="43" fillId="2" borderId="0" xfId="124" applyFont="1" applyFill="1" applyBorder="1" applyAlignment="1">
      <alignment horizontal="center"/>
    </xf>
    <xf numFmtId="0" fontId="2" fillId="2" borderId="0" xfId="124" applyFill="1" applyBorder="1" applyAlignment="1">
      <alignment horizontal="center"/>
    </xf>
    <xf numFmtId="165" fontId="34" fillId="5" borderId="0" xfId="124" applyNumberFormat="1" applyFont="1" applyFill="1" applyBorder="1" applyAlignment="1">
      <alignment horizontal="center"/>
    </xf>
    <xf numFmtId="3" fontId="34" fillId="5" borderId="0" xfId="124" applyNumberFormat="1" applyFont="1" applyFill="1" applyBorder="1" applyAlignment="1">
      <alignment horizontal="center"/>
    </xf>
    <xf numFmtId="39" fontId="34" fillId="5" borderId="0" xfId="124" applyNumberFormat="1" applyFont="1" applyFill="1" applyBorder="1" applyAlignment="1" applyProtection="1">
      <alignment horizontal="center"/>
    </xf>
    <xf numFmtId="165" fontId="34" fillId="5" borderId="0" xfId="124" applyNumberFormat="1" applyFont="1" applyFill="1" applyBorder="1" applyAlignment="1" applyProtection="1">
      <alignment horizontal="center"/>
    </xf>
    <xf numFmtId="0" fontId="2" fillId="2" borderId="7" xfId="124" applyFill="1" applyBorder="1" applyAlignment="1">
      <alignment horizontal="center"/>
    </xf>
    <xf numFmtId="0" fontId="2" fillId="20" borderId="2" xfId="124" applyFill="1" applyBorder="1"/>
    <xf numFmtId="0" fontId="2" fillId="20" borderId="0" xfId="124" applyFill="1" applyBorder="1"/>
    <xf numFmtId="0" fontId="36" fillId="20" borderId="0" xfId="124" applyFont="1" applyFill="1" applyBorder="1" applyAlignment="1">
      <alignment horizontal="center"/>
    </xf>
    <xf numFmtId="0" fontId="37" fillId="20" borderId="0" xfId="124" applyFont="1" applyFill="1" applyBorder="1" applyAlignment="1">
      <alignment horizontal="center"/>
    </xf>
    <xf numFmtId="0" fontId="4" fillId="20" borderId="0" xfId="8" applyFill="1" applyBorder="1"/>
    <xf numFmtId="0" fontId="43" fillId="20" borderId="0" xfId="124" applyFont="1" applyFill="1" applyBorder="1" applyAlignment="1">
      <alignment horizontal="center"/>
    </xf>
    <xf numFmtId="0" fontId="2" fillId="20" borderId="0" xfId="124" applyFill="1" applyBorder="1" applyAlignment="1">
      <alignment horizontal="center"/>
    </xf>
    <xf numFmtId="0" fontId="2" fillId="20" borderId="7" xfId="124" applyFill="1" applyBorder="1" applyAlignment="1">
      <alignment horizontal="center"/>
    </xf>
    <xf numFmtId="0" fontId="2" fillId="18" borderId="2" xfId="124" applyFill="1" applyBorder="1"/>
    <xf numFmtId="0" fontId="2" fillId="18" borderId="0" xfId="124" applyFill="1" applyBorder="1"/>
    <xf numFmtId="0" fontId="36" fillId="18" borderId="0" xfId="124" applyFont="1" applyFill="1" applyBorder="1" applyAlignment="1">
      <alignment horizontal="center"/>
    </xf>
    <xf numFmtId="0" fontId="37" fillId="18" borderId="0" xfId="124" applyFont="1" applyFill="1" applyBorder="1" applyAlignment="1">
      <alignment horizontal="center"/>
    </xf>
    <xf numFmtId="0" fontId="4" fillId="18" borderId="0" xfId="8" applyFill="1" applyBorder="1"/>
    <xf numFmtId="0" fontId="43" fillId="18" borderId="0" xfId="124" applyFont="1" applyFill="1" applyBorder="1" applyAlignment="1">
      <alignment horizontal="center"/>
    </xf>
    <xf numFmtId="0" fontId="2" fillId="18" borderId="0" xfId="124" applyFill="1" applyBorder="1" applyAlignment="1">
      <alignment horizontal="center"/>
    </xf>
    <xf numFmtId="0" fontId="2" fillId="18" borderId="7" xfId="124" applyFill="1" applyBorder="1" applyAlignment="1">
      <alignment horizontal="center"/>
    </xf>
    <xf numFmtId="0" fontId="2" fillId="21" borderId="2" xfId="124" applyFill="1" applyBorder="1"/>
    <xf numFmtId="0" fontId="2" fillId="21" borderId="0" xfId="124" applyFill="1" applyBorder="1"/>
    <xf numFmtId="0" fontId="36" fillId="21" borderId="0" xfId="124" applyFont="1" applyFill="1" applyBorder="1" applyAlignment="1">
      <alignment horizontal="center"/>
    </xf>
    <xf numFmtId="0" fontId="37" fillId="21" borderId="0" xfId="124" applyFont="1" applyFill="1" applyBorder="1" applyAlignment="1">
      <alignment horizontal="center"/>
    </xf>
    <xf numFmtId="0" fontId="4" fillId="21" borderId="0" xfId="8" applyFill="1" applyBorder="1"/>
    <xf numFmtId="0" fontId="43" fillId="21" borderId="0" xfId="124" applyFont="1" applyFill="1" applyBorder="1" applyAlignment="1">
      <alignment horizontal="center"/>
    </xf>
    <xf numFmtId="0" fontId="2" fillId="21" borderId="0" xfId="124" applyFill="1" applyBorder="1" applyAlignment="1">
      <alignment horizontal="center"/>
    </xf>
    <xf numFmtId="0" fontId="2" fillId="21" borderId="7" xfId="124" applyFill="1" applyBorder="1" applyAlignment="1">
      <alignment horizontal="center"/>
    </xf>
    <xf numFmtId="0" fontId="67" fillId="6" borderId="2" xfId="124" applyFont="1" applyFill="1" applyBorder="1"/>
    <xf numFmtId="0" fontId="67" fillId="6" borderId="0" xfId="124" applyFont="1" applyFill="1" applyBorder="1"/>
    <xf numFmtId="0" fontId="71" fillId="6" borderId="0" xfId="124" applyFont="1" applyFill="1" applyBorder="1" applyAlignment="1">
      <alignment horizontal="center"/>
    </xf>
    <xf numFmtId="0" fontId="72" fillId="6" borderId="0" xfId="124" applyFont="1" applyFill="1" applyBorder="1" applyAlignment="1">
      <alignment horizontal="center"/>
    </xf>
    <xf numFmtId="0" fontId="31" fillId="6" borderId="0" xfId="8" applyFont="1" applyFill="1" applyBorder="1"/>
    <xf numFmtId="0" fontId="73" fillId="6" borderId="0" xfId="124" applyFont="1" applyFill="1" applyBorder="1" applyAlignment="1">
      <alignment horizontal="center"/>
    </xf>
    <xf numFmtId="0" fontId="67" fillId="6" borderId="0" xfId="124" applyFont="1" applyFill="1" applyBorder="1" applyAlignment="1">
      <alignment horizontal="center"/>
    </xf>
    <xf numFmtId="0" fontId="67" fillId="6" borderId="7" xfId="124" applyFont="1" applyFill="1" applyBorder="1" applyAlignment="1">
      <alignment horizontal="center"/>
    </xf>
    <xf numFmtId="0" fontId="59" fillId="7" borderId="0" xfId="8" applyFont="1" applyFill="1"/>
    <xf numFmtId="39" fontId="38" fillId="5" borderId="0" xfId="124" applyNumberFormat="1" applyFont="1" applyFill="1" applyBorder="1" applyAlignment="1" applyProtection="1">
      <alignment horizontal="center"/>
      <protection locked="0"/>
    </xf>
    <xf numFmtId="165" fontId="38" fillId="5" borderId="0" xfId="124" applyNumberFormat="1" applyFont="1" applyFill="1" applyBorder="1" applyAlignment="1" applyProtection="1">
      <alignment horizontal="center"/>
      <protection locked="0"/>
    </xf>
    <xf numFmtId="177" fontId="34" fillId="5" borderId="0" xfId="124" applyNumberFormat="1" applyFont="1" applyFill="1" applyBorder="1" applyAlignment="1">
      <alignment horizontal="center"/>
    </xf>
    <xf numFmtId="170" fontId="4" fillId="14" borderId="1" xfId="8" applyNumberFormat="1" applyFill="1" applyBorder="1"/>
    <xf numFmtId="170" fontId="4" fillId="7" borderId="0" xfId="8" applyNumberFormat="1" applyFill="1"/>
    <xf numFmtId="10" fontId="4" fillId="14" borderId="4" xfId="8" applyNumberFormat="1" applyFill="1" applyBorder="1" applyAlignment="1">
      <alignment horizontal="center"/>
    </xf>
    <xf numFmtId="10" fontId="4" fillId="14" borderId="5" xfId="8" applyNumberFormat="1" applyFill="1" applyBorder="1" applyAlignment="1">
      <alignment horizontal="center"/>
    </xf>
    <xf numFmtId="10" fontId="4" fillId="0" borderId="0" xfId="8" applyNumberFormat="1" applyAlignment="1">
      <alignment horizontal="center"/>
    </xf>
    <xf numFmtId="10" fontId="4" fillId="7" borderId="0" xfId="8" applyNumberFormat="1" applyFill="1" applyAlignment="1">
      <alignment horizontal="center"/>
    </xf>
    <xf numFmtId="170" fontId="4" fillId="14" borderId="4" xfId="8" applyNumberFormat="1" applyFill="1" applyBorder="1" applyAlignment="1">
      <alignment horizontal="center"/>
    </xf>
    <xf numFmtId="0" fontId="4" fillId="22" borderId="5" xfId="8" applyFill="1" applyBorder="1" applyAlignment="1">
      <alignment horizontal="center"/>
    </xf>
    <xf numFmtId="0" fontId="4" fillId="7" borderId="0" xfId="8" applyFill="1" applyAlignment="1">
      <alignment horizontal="center"/>
    </xf>
    <xf numFmtId="170" fontId="4" fillId="14" borderId="6" xfId="8" applyNumberFormat="1" applyFill="1" applyBorder="1" applyAlignment="1">
      <alignment horizontal="center"/>
    </xf>
    <xf numFmtId="170" fontId="4" fillId="0" borderId="0" xfId="8" applyNumberFormat="1" applyAlignment="1">
      <alignment horizontal="center"/>
    </xf>
    <xf numFmtId="170" fontId="4" fillId="14" borderId="8" xfId="8" applyNumberFormat="1" applyFill="1" applyBorder="1" applyAlignment="1">
      <alignment horizontal="center"/>
    </xf>
    <xf numFmtId="170" fontId="4" fillId="7" borderId="0" xfId="8" applyNumberFormat="1" applyFill="1" applyAlignment="1">
      <alignment horizontal="center"/>
    </xf>
    <xf numFmtId="0" fontId="4" fillId="0" borderId="5" xfId="8" applyBorder="1"/>
    <xf numFmtId="177" fontId="13" fillId="0" borderId="64" xfId="11" applyNumberFormat="1" applyFont="1" applyBorder="1" applyAlignment="1" applyProtection="1">
      <alignment horizontal="center"/>
      <protection locked="0"/>
    </xf>
    <xf numFmtId="9" fontId="4" fillId="0" borderId="0" xfId="11" applyFill="1" applyBorder="1" applyProtection="1"/>
    <xf numFmtId="177" fontId="4" fillId="0" borderId="4" xfId="125" applyNumberFormat="1" applyFont="1" applyBorder="1" applyAlignment="1" applyProtection="1">
      <alignment horizontal="center"/>
    </xf>
    <xf numFmtId="10" fontId="4" fillId="0" borderId="5" xfId="11" applyNumberFormat="1" applyBorder="1" applyAlignment="1" applyProtection="1">
      <alignment horizontal="center"/>
    </xf>
    <xf numFmtId="0" fontId="54" fillId="17" borderId="61" xfId="8" applyFont="1" applyFill="1" applyBorder="1"/>
    <xf numFmtId="0" fontId="54" fillId="17" borderId="54" xfId="8" applyFont="1" applyFill="1" applyBorder="1"/>
    <xf numFmtId="0" fontId="54" fillId="0" borderId="4" xfId="8" applyFont="1" applyBorder="1"/>
    <xf numFmtId="177" fontId="54" fillId="17" borderId="6" xfId="125" applyNumberFormat="1" applyFont="1" applyFill="1" applyBorder="1" applyAlignment="1" applyProtection="1">
      <alignment horizontal="center"/>
    </xf>
    <xf numFmtId="10" fontId="54" fillId="17" borderId="8" xfId="11" applyNumberFormat="1" applyFont="1" applyFill="1" applyBorder="1" applyAlignment="1" applyProtection="1">
      <alignment horizontal="center"/>
    </xf>
    <xf numFmtId="0" fontId="54" fillId="0" borderId="51" xfId="8" applyFont="1" applyBorder="1"/>
    <xf numFmtId="177" fontId="54" fillId="6" borderId="61" xfId="8" applyNumberFormat="1" applyFont="1" applyFill="1" applyBorder="1" applyAlignment="1">
      <alignment horizontal="center"/>
    </xf>
    <xf numFmtId="177" fontId="13" fillId="0" borderId="4" xfId="11" applyNumberFormat="1" applyFont="1" applyBorder="1" applyAlignment="1" applyProtection="1">
      <alignment horizontal="center"/>
      <protection locked="0"/>
    </xf>
    <xf numFmtId="177" fontId="4" fillId="0" borderId="4" xfId="125" applyNumberFormat="1" applyFont="1" applyFill="1" applyBorder="1" applyAlignment="1" applyProtection="1">
      <alignment horizontal="center"/>
    </xf>
    <xf numFmtId="177" fontId="54" fillId="17" borderId="61" xfId="125" applyNumberFormat="1" applyFont="1" applyFill="1" applyBorder="1" applyAlignment="1" applyProtection="1">
      <alignment horizontal="center"/>
    </xf>
    <xf numFmtId="10" fontId="54" fillId="17" borderId="54" xfId="11" applyNumberFormat="1" applyFont="1" applyFill="1" applyBorder="1" applyAlignment="1" applyProtection="1">
      <alignment horizontal="center"/>
    </xf>
    <xf numFmtId="177" fontId="54" fillId="6" borderId="80" xfId="8" applyNumberFormat="1" applyFont="1" applyFill="1" applyBorder="1" applyAlignment="1">
      <alignment horizontal="center"/>
    </xf>
    <xf numFmtId="10" fontId="54" fillId="6" borderId="28" xfId="11" applyNumberFormat="1" applyFont="1" applyFill="1" applyBorder="1" applyAlignment="1" applyProtection="1">
      <alignment horizontal="center"/>
    </xf>
    <xf numFmtId="177" fontId="30" fillId="6" borderId="61" xfId="125" applyNumberFormat="1" applyFont="1" applyFill="1" applyBorder="1" applyAlignment="1" applyProtection="1">
      <alignment horizontal="center"/>
    </xf>
    <xf numFmtId="170" fontId="54" fillId="0" borderId="0" xfId="8" applyNumberFormat="1" applyFont="1"/>
    <xf numFmtId="170" fontId="54" fillId="0" borderId="51" xfId="8" applyNumberFormat="1" applyFont="1" applyBorder="1"/>
    <xf numFmtId="10" fontId="54" fillId="6" borderId="54" xfId="11" applyNumberFormat="1" applyFont="1" applyFill="1" applyBorder="1" applyAlignment="1" applyProtection="1">
      <alignment horizontal="center"/>
    </xf>
    <xf numFmtId="170" fontId="8" fillId="0" borderId="0" xfId="8" applyNumberFormat="1" applyFont="1"/>
    <xf numFmtId="177" fontId="54" fillId="17" borderId="61" xfId="8" applyNumberFormat="1" applyFont="1" applyFill="1" applyBorder="1" applyAlignment="1">
      <alignment horizontal="center"/>
    </xf>
    <xf numFmtId="10" fontId="4" fillId="0" borderId="5" xfId="11" applyNumberFormat="1" applyFill="1" applyBorder="1" applyAlignment="1" applyProtection="1">
      <alignment horizontal="center"/>
    </xf>
    <xf numFmtId="0" fontId="55" fillId="0" borderId="4" xfId="8" applyFont="1" applyBorder="1"/>
    <xf numFmtId="10" fontId="4" fillId="0" borderId="5" xfId="11" applyNumberFormat="1" applyFont="1" applyFill="1" applyBorder="1" applyAlignment="1" applyProtection="1">
      <alignment horizontal="center"/>
    </xf>
    <xf numFmtId="175" fontId="4" fillId="0" borderId="0" xfId="8" applyNumberFormat="1"/>
    <xf numFmtId="175" fontId="4" fillId="0" borderId="51" xfId="8" applyNumberFormat="1" applyBorder="1"/>
    <xf numFmtId="10" fontId="54" fillId="17" borderId="54" xfId="8" applyNumberFormat="1" applyFont="1" applyFill="1" applyBorder="1" applyAlignment="1">
      <alignment horizontal="center"/>
    </xf>
    <xf numFmtId="10" fontId="4" fillId="0" borderId="5" xfId="8" applyNumberFormat="1" applyBorder="1" applyAlignment="1">
      <alignment horizontal="center"/>
    </xf>
    <xf numFmtId="10" fontId="0" fillId="0" borderId="5" xfId="11" applyNumberFormat="1" applyFont="1" applyBorder="1" applyAlignment="1" applyProtection="1">
      <alignment horizontal="center"/>
    </xf>
    <xf numFmtId="10" fontId="0" fillId="0" borderId="54" xfId="11" applyNumberFormat="1" applyFont="1" applyBorder="1" applyAlignment="1" applyProtection="1">
      <alignment horizontal="center"/>
    </xf>
    <xf numFmtId="10" fontId="54" fillId="17" borderId="81" xfId="11" applyNumberFormat="1" applyFont="1" applyFill="1" applyBorder="1" applyAlignment="1" applyProtection="1">
      <alignment horizontal="center"/>
    </xf>
    <xf numFmtId="0" fontId="4" fillId="7" borderId="4" xfId="8" applyFill="1" applyBorder="1"/>
    <xf numFmtId="0" fontId="54" fillId="7" borderId="5" xfId="8" applyFont="1" applyFill="1" applyBorder="1"/>
    <xf numFmtId="0" fontId="54" fillId="7" borderId="4" xfId="8" applyFont="1" applyFill="1" applyBorder="1"/>
    <xf numFmtId="0" fontId="54" fillId="7" borderId="0" xfId="8" applyFont="1" applyFill="1"/>
    <xf numFmtId="0" fontId="4" fillId="7" borderId="5" xfId="8" applyFill="1" applyBorder="1"/>
    <xf numFmtId="0" fontId="13" fillId="5" borderId="48" xfId="8" applyFont="1" applyFill="1" applyBorder="1" applyAlignment="1" applyProtection="1">
      <alignment horizontal="center"/>
      <protection locked="0"/>
    </xf>
    <xf numFmtId="9" fontId="13" fillId="5" borderId="48" xfId="8" applyNumberFormat="1" applyFont="1" applyFill="1" applyBorder="1" applyAlignment="1" applyProtection="1">
      <alignment horizontal="center"/>
      <protection locked="0"/>
    </xf>
    <xf numFmtId="170" fontId="4" fillId="22" borderId="1" xfId="8" applyNumberFormat="1" applyFill="1" applyBorder="1"/>
    <xf numFmtId="170" fontId="4" fillId="23" borderId="0" xfId="8" applyNumberFormat="1" applyFill="1"/>
    <xf numFmtId="170" fontId="4" fillId="0" borderId="5" xfId="8" applyNumberFormat="1" applyBorder="1"/>
    <xf numFmtId="10" fontId="4" fillId="22" borderId="4" xfId="8" applyNumberFormat="1" applyFill="1" applyBorder="1" applyAlignment="1">
      <alignment horizontal="center"/>
    </xf>
    <xf numFmtId="10" fontId="4" fillId="22" borderId="5" xfId="8" applyNumberFormat="1" applyFill="1" applyBorder="1" applyAlignment="1">
      <alignment horizontal="center"/>
    </xf>
    <xf numFmtId="10" fontId="4" fillId="23" borderId="0" xfId="8" applyNumberFormat="1" applyFill="1" applyAlignment="1">
      <alignment horizontal="center"/>
    </xf>
    <xf numFmtId="10" fontId="4" fillId="25" borderId="4" xfId="8" applyNumberFormat="1" applyFill="1" applyBorder="1" applyAlignment="1">
      <alignment horizontal="center"/>
    </xf>
    <xf numFmtId="170" fontId="4" fillId="22" borderId="4" xfId="8" applyNumberFormat="1" applyFill="1" applyBorder="1" applyAlignment="1">
      <alignment horizontal="center"/>
    </xf>
    <xf numFmtId="0" fontId="4" fillId="23" borderId="0" xfId="8" applyFill="1" applyAlignment="1">
      <alignment horizontal="center"/>
    </xf>
    <xf numFmtId="0" fontId="4" fillId="0" borderId="5" xfId="8" applyBorder="1" applyAlignment="1">
      <alignment horizontal="center"/>
    </xf>
    <xf numFmtId="170" fontId="4" fillId="22" borderId="6" xfId="8" applyNumberFormat="1" applyFill="1" applyBorder="1" applyAlignment="1">
      <alignment horizontal="center"/>
    </xf>
    <xf numFmtId="170" fontId="4" fillId="22" borderId="8" xfId="8" applyNumberFormat="1" applyFill="1" applyBorder="1" applyAlignment="1">
      <alignment horizontal="center"/>
    </xf>
    <xf numFmtId="170" fontId="4" fillId="23" borderId="0" xfId="8" applyNumberFormat="1" applyFill="1" applyAlignment="1">
      <alignment horizontal="center"/>
    </xf>
    <xf numFmtId="170" fontId="4" fillId="0" borderId="5" xfId="8" applyNumberFormat="1" applyBorder="1" applyAlignment="1">
      <alignment horizontal="center"/>
    </xf>
    <xf numFmtId="0" fontId="8" fillId="25" borderId="0" xfId="8" applyFont="1" applyFill="1" applyAlignment="1">
      <alignment horizontal="center"/>
    </xf>
    <xf numFmtId="0" fontId="8" fillId="25" borderId="0" xfId="8" applyFont="1" applyFill="1"/>
    <xf numFmtId="170" fontId="4" fillId="25" borderId="0" xfId="8" applyNumberFormat="1" applyFill="1" applyAlignment="1">
      <alignment horizontal="center"/>
    </xf>
    <xf numFmtId="9" fontId="4" fillId="25" borderId="0" xfId="8" applyNumberFormat="1" applyFill="1" applyAlignment="1">
      <alignment horizontal="center"/>
    </xf>
    <xf numFmtId="170" fontId="8" fillId="25" borderId="0" xfId="8" applyNumberFormat="1" applyFont="1" applyFill="1" applyAlignment="1">
      <alignment horizontal="center"/>
    </xf>
    <xf numFmtId="0" fontId="54" fillId="17" borderId="64" xfId="8" applyFont="1" applyFill="1" applyBorder="1"/>
    <xf numFmtId="0" fontId="54" fillId="17" borderId="65" xfId="8" applyFont="1" applyFill="1" applyBorder="1"/>
    <xf numFmtId="165" fontId="54" fillId="17" borderId="1" xfId="125" applyNumberFormat="1" applyFont="1" applyFill="1" applyBorder="1"/>
    <xf numFmtId="9" fontId="79" fillId="17" borderId="3" xfId="11" applyFont="1" applyFill="1" applyBorder="1"/>
    <xf numFmtId="179" fontId="54" fillId="6" borderId="64" xfId="8" applyNumberFormat="1" applyFont="1" applyFill="1" applyBorder="1" applyAlignment="1">
      <alignment horizontal="center"/>
    </xf>
    <xf numFmtId="9" fontId="54" fillId="6" borderId="65" xfId="11" applyFont="1" applyFill="1" applyBorder="1" applyAlignment="1">
      <alignment horizontal="center"/>
    </xf>
    <xf numFmtId="165" fontId="54" fillId="7" borderId="4" xfId="125" applyNumberFormat="1" applyFont="1" applyFill="1" applyBorder="1"/>
    <xf numFmtId="9" fontId="79" fillId="7" borderId="5" xfId="11" applyFont="1" applyFill="1" applyBorder="1"/>
    <xf numFmtId="164" fontId="4" fillId="0" borderId="4" xfId="125" applyNumberFormat="1" applyFont="1" applyFill="1" applyBorder="1" applyAlignment="1">
      <alignment horizontal="center"/>
    </xf>
    <xf numFmtId="164" fontId="4" fillId="0" borderId="4" xfId="125" applyNumberFormat="1" applyFont="1" applyBorder="1" applyAlignment="1">
      <alignment horizontal="center"/>
    </xf>
    <xf numFmtId="9" fontId="4" fillId="0" borderId="0" xfId="11" applyFont="1" applyFill="1" applyBorder="1"/>
    <xf numFmtId="166" fontId="4" fillId="0" borderId="4" xfId="125" applyNumberFormat="1" applyFont="1" applyBorder="1" applyAlignment="1">
      <alignment horizontal="center"/>
    </xf>
    <xf numFmtId="0" fontId="54" fillId="17" borderId="6" xfId="8" applyFont="1" applyFill="1" applyBorder="1"/>
    <xf numFmtId="0" fontId="54" fillId="17" borderId="8" xfId="8" applyFont="1" applyFill="1" applyBorder="1"/>
    <xf numFmtId="165" fontId="54" fillId="17" borderId="6" xfId="125" applyNumberFormat="1" applyFont="1" applyFill="1" applyBorder="1" applyAlignment="1">
      <alignment horizontal="center"/>
    </xf>
    <xf numFmtId="177" fontId="54" fillId="17" borderId="6" xfId="8" applyNumberFormat="1" applyFont="1" applyFill="1" applyBorder="1" applyAlignment="1">
      <alignment horizontal="center"/>
    </xf>
    <xf numFmtId="165" fontId="54" fillId="17" borderId="64" xfId="125" applyNumberFormat="1" applyFont="1" applyFill="1" applyBorder="1" applyAlignment="1">
      <alignment horizontal="center"/>
    </xf>
    <xf numFmtId="9" fontId="79" fillId="17" borderId="65" xfId="11" applyFont="1" applyFill="1" applyBorder="1" applyAlignment="1">
      <alignment horizontal="center"/>
    </xf>
    <xf numFmtId="177" fontId="54" fillId="6" borderId="64" xfId="8" applyNumberFormat="1" applyFont="1" applyFill="1" applyBorder="1" applyAlignment="1">
      <alignment horizontal="center"/>
    </xf>
    <xf numFmtId="165" fontId="54" fillId="7" borderId="4" xfId="125" applyNumberFormat="1" applyFont="1" applyFill="1" applyBorder="1" applyAlignment="1">
      <alignment horizontal="center"/>
    </xf>
    <xf numFmtId="9" fontId="79" fillId="7" borderId="5" xfId="11" applyFont="1" applyFill="1" applyBorder="1" applyAlignment="1">
      <alignment horizontal="center"/>
    </xf>
    <xf numFmtId="165" fontId="4" fillId="0" borderId="4" xfId="125" applyNumberFormat="1" applyFont="1" applyBorder="1" applyAlignment="1">
      <alignment horizontal="center"/>
    </xf>
    <xf numFmtId="165" fontId="4" fillId="0" borderId="4" xfId="125" applyNumberFormat="1" applyFont="1" applyFill="1" applyBorder="1" applyAlignment="1">
      <alignment horizontal="center"/>
    </xf>
    <xf numFmtId="170" fontId="55" fillId="0" borderId="0" xfId="8" applyNumberFormat="1" applyFont="1"/>
    <xf numFmtId="0" fontId="4" fillId="0" borderId="4" xfId="8" applyBorder="1" applyAlignment="1">
      <alignment horizontal="center"/>
    </xf>
    <xf numFmtId="165" fontId="30" fillId="6" borderId="6" xfId="8" applyNumberFormat="1" applyFont="1" applyFill="1" applyBorder="1" applyAlignment="1">
      <alignment horizontal="center"/>
    </xf>
    <xf numFmtId="10" fontId="30" fillId="6" borderId="8" xfId="11" applyNumberFormat="1" applyFont="1" applyFill="1" applyBorder="1" applyAlignment="1">
      <alignment horizontal="center"/>
    </xf>
    <xf numFmtId="177" fontId="30" fillId="6" borderId="6" xfId="8" applyNumberFormat="1" applyFont="1" applyFill="1" applyBorder="1" applyAlignment="1">
      <alignment horizontal="center"/>
    </xf>
    <xf numFmtId="177" fontId="42" fillId="11" borderId="4" xfId="8" applyNumberFormat="1" applyFont="1" applyFill="1" applyBorder="1" applyAlignment="1">
      <alignment horizontal="center"/>
    </xf>
    <xf numFmtId="10" fontId="42" fillId="11" borderId="5" xfId="11" applyNumberFormat="1" applyFont="1" applyFill="1" applyBorder="1" applyAlignment="1" applyProtection="1">
      <alignment horizontal="center"/>
    </xf>
    <xf numFmtId="10" fontId="4" fillId="11" borderId="5" xfId="11" applyNumberFormat="1" applyFill="1" applyBorder="1" applyAlignment="1" applyProtection="1">
      <alignment horizontal="center"/>
    </xf>
    <xf numFmtId="177" fontId="4" fillId="11" borderId="4" xfId="8" applyNumberFormat="1" applyFill="1" applyBorder="1" applyAlignment="1">
      <alignment horizontal="center"/>
    </xf>
    <xf numFmtId="177" fontId="4" fillId="11" borderId="61" xfId="8" applyNumberFormat="1" applyFill="1" applyBorder="1" applyAlignment="1">
      <alignment horizontal="center"/>
    </xf>
    <xf numFmtId="10" fontId="4" fillId="11" borderId="5" xfId="11" applyNumberFormat="1" applyFont="1" applyFill="1" applyBorder="1" applyAlignment="1" applyProtection="1">
      <alignment horizontal="center"/>
    </xf>
    <xf numFmtId="10" fontId="42" fillId="0" borderId="65" xfId="11" applyNumberFormat="1" applyFont="1" applyBorder="1" applyAlignment="1" applyProtection="1">
      <alignment horizontal="center"/>
    </xf>
    <xf numFmtId="10" fontId="42" fillId="0" borderId="5" xfId="11" applyNumberFormat="1" applyFont="1" applyBorder="1" applyAlignment="1" applyProtection="1">
      <alignment horizontal="center"/>
    </xf>
    <xf numFmtId="10" fontId="42" fillId="0" borderId="5" xfId="11" applyNumberFormat="1" applyFont="1" applyFill="1" applyBorder="1" applyAlignment="1" applyProtection="1">
      <alignment horizontal="center"/>
    </xf>
    <xf numFmtId="10" fontId="4" fillId="0" borderId="5" xfId="11" applyNumberFormat="1" applyFont="1" applyFill="1" applyBorder="1" applyAlignment="1">
      <alignment horizontal="center"/>
    </xf>
    <xf numFmtId="10" fontId="54" fillId="17" borderId="8" xfId="11" applyNumberFormat="1" applyFont="1" applyFill="1" applyBorder="1" applyAlignment="1">
      <alignment horizontal="center"/>
    </xf>
    <xf numFmtId="179" fontId="54" fillId="11" borderId="4" xfId="8" applyNumberFormat="1" applyFont="1" applyFill="1" applyBorder="1" applyAlignment="1">
      <alignment horizontal="center"/>
    </xf>
    <xf numFmtId="9" fontId="54" fillId="11" borderId="5" xfId="11" applyFont="1" applyFill="1" applyBorder="1" applyAlignment="1">
      <alignment horizontal="center"/>
    </xf>
    <xf numFmtId="177" fontId="54" fillId="11" borderId="4" xfId="8" applyNumberFormat="1" applyFont="1" applyFill="1" applyBorder="1" applyAlignment="1">
      <alignment horizontal="center"/>
    </xf>
    <xf numFmtId="10" fontId="4" fillId="11" borderId="5" xfId="11" applyNumberFormat="1" applyFont="1" applyFill="1" applyBorder="1" applyAlignment="1">
      <alignment horizontal="center"/>
    </xf>
    <xf numFmtId="10" fontId="54" fillId="6" borderId="65" xfId="11" applyNumberFormat="1" applyFont="1" applyFill="1" applyBorder="1" applyAlignment="1">
      <alignment horizontal="center"/>
    </xf>
    <xf numFmtId="10" fontId="54" fillId="11" borderId="5" xfId="11" applyNumberFormat="1" applyFont="1" applyFill="1" applyBorder="1" applyAlignment="1">
      <alignment horizontal="center"/>
    </xf>
    <xf numFmtId="0" fontId="54" fillId="17" borderId="13" xfId="8" applyFont="1" applyFill="1" applyBorder="1"/>
    <xf numFmtId="0" fontId="54" fillId="17" borderId="28" xfId="8" applyFont="1" applyFill="1" applyBorder="1"/>
    <xf numFmtId="0" fontId="54" fillId="17" borderId="82" xfId="8" applyFont="1" applyFill="1" applyBorder="1"/>
    <xf numFmtId="0" fontId="8" fillId="0" borderId="0" xfId="8" applyFont="1" applyBorder="1" applyAlignment="1">
      <alignment horizontal="left"/>
    </xf>
    <xf numFmtId="0" fontId="8" fillId="0" borderId="0" xfId="8" applyFont="1" applyBorder="1"/>
    <xf numFmtId="0" fontId="4" fillId="0" borderId="0" xfId="8" applyBorder="1"/>
    <xf numFmtId="168" fontId="77" fillId="0" borderId="0" xfId="125" applyNumberFormat="1" applyFont="1" applyBorder="1" applyProtection="1"/>
    <xf numFmtId="10" fontId="4" fillId="0" borderId="0" xfId="11" applyNumberFormat="1" applyBorder="1" applyProtection="1"/>
    <xf numFmtId="168" fontId="4" fillId="0" borderId="0" xfId="125" applyNumberFormat="1" applyFont="1" applyBorder="1" applyProtection="1"/>
    <xf numFmtId="9" fontId="4" fillId="0" borderId="0" xfId="11" applyBorder="1" applyProtection="1"/>
    <xf numFmtId="0" fontId="4" fillId="7" borderId="0" xfId="8" applyFill="1" applyBorder="1"/>
    <xf numFmtId="168" fontId="78" fillId="7" borderId="0" xfId="8" applyNumberFormat="1" applyFont="1" applyFill="1" applyBorder="1"/>
    <xf numFmtId="9" fontId="78" fillId="7" borderId="0" xfId="11" applyFont="1" applyFill="1" applyBorder="1" applyProtection="1"/>
    <xf numFmtId="177" fontId="77" fillId="0" borderId="0" xfId="125" applyNumberFormat="1" applyFont="1" applyBorder="1" applyAlignment="1" applyProtection="1">
      <alignment horizontal="center"/>
    </xf>
    <xf numFmtId="10" fontId="4" fillId="0" borderId="0" xfId="11" applyNumberFormat="1" applyBorder="1" applyAlignment="1" applyProtection="1">
      <alignment horizontal="center"/>
    </xf>
    <xf numFmtId="177" fontId="4" fillId="7" borderId="0" xfId="8" applyNumberFormat="1" applyFill="1" applyBorder="1" applyAlignment="1">
      <alignment horizontal="center"/>
    </xf>
    <xf numFmtId="10" fontId="4" fillId="7" borderId="0" xfId="11" applyNumberFormat="1" applyFill="1" applyBorder="1" applyAlignment="1" applyProtection="1">
      <alignment horizontal="center"/>
    </xf>
    <xf numFmtId="177" fontId="4" fillId="0" borderId="0" xfId="125" applyNumberFormat="1" applyFont="1" applyFill="1" applyBorder="1" applyAlignment="1" applyProtection="1">
      <alignment horizontal="center"/>
    </xf>
    <xf numFmtId="177" fontId="77" fillId="0" borderId="0" xfId="125" applyNumberFormat="1" applyFont="1" applyFill="1" applyBorder="1" applyAlignment="1" applyProtection="1">
      <alignment horizontal="center"/>
    </xf>
    <xf numFmtId="177" fontId="0" fillId="0" borderId="0" xfId="125" applyNumberFormat="1" applyFont="1" applyBorder="1" applyAlignment="1" applyProtection="1">
      <alignment horizontal="center"/>
    </xf>
    <xf numFmtId="10" fontId="4" fillId="0" borderId="0" xfId="8" applyNumberFormat="1" applyBorder="1" applyAlignment="1">
      <alignment horizontal="center"/>
    </xf>
    <xf numFmtId="10" fontId="4" fillId="7" borderId="0" xfId="8" applyNumberFormat="1" applyFill="1" applyBorder="1" applyAlignment="1">
      <alignment horizontal="center"/>
    </xf>
    <xf numFmtId="10" fontId="0" fillId="0" borderId="0" xfId="11" applyNumberFormat="1" applyFont="1" applyBorder="1" applyAlignment="1" applyProtection="1">
      <alignment horizontal="center"/>
    </xf>
    <xf numFmtId="0" fontId="54" fillId="7" borderId="0" xfId="8" applyFont="1" applyFill="1" applyBorder="1"/>
    <xf numFmtId="177" fontId="54" fillId="7" borderId="0" xfId="125" applyNumberFormat="1" applyFont="1" applyFill="1" applyBorder="1" applyAlignment="1" applyProtection="1">
      <alignment horizontal="center"/>
    </xf>
    <xf numFmtId="10" fontId="54" fillId="7" borderId="0" xfId="11" applyNumberFormat="1" applyFont="1" applyFill="1" applyBorder="1" applyAlignment="1" applyProtection="1">
      <alignment horizontal="center"/>
    </xf>
    <xf numFmtId="177" fontId="54" fillId="7" borderId="0" xfId="8" applyNumberFormat="1" applyFont="1" applyFill="1" applyBorder="1" applyAlignment="1">
      <alignment horizontal="center"/>
    </xf>
    <xf numFmtId="10" fontId="4" fillId="7" borderId="0" xfId="11" applyNumberFormat="1" applyFont="1" applyFill="1" applyBorder="1" applyAlignment="1" applyProtection="1">
      <alignment horizontal="center"/>
    </xf>
    <xf numFmtId="10" fontId="54" fillId="7" borderId="83" xfId="11" applyNumberFormat="1" applyFont="1" applyFill="1" applyBorder="1" applyAlignment="1" applyProtection="1">
      <alignment horizontal="center"/>
    </xf>
    <xf numFmtId="0" fontId="81" fillId="6" borderId="13" xfId="8" applyFont="1" applyFill="1" applyBorder="1"/>
    <xf numFmtId="0" fontId="81" fillId="6" borderId="28" xfId="8" applyFont="1" applyFill="1" applyBorder="1"/>
    <xf numFmtId="177" fontId="81" fillId="6" borderId="13" xfId="125" applyNumberFormat="1" applyFont="1" applyFill="1" applyBorder="1" applyAlignment="1" applyProtection="1">
      <alignment horizontal="center"/>
    </xf>
    <xf numFmtId="10" fontId="81" fillId="6" borderId="28" xfId="11" applyNumberFormat="1" applyFont="1" applyFill="1" applyBorder="1" applyAlignment="1" applyProtection="1">
      <alignment horizontal="center"/>
    </xf>
    <xf numFmtId="177" fontId="81" fillId="6" borderId="13" xfId="126" applyNumberFormat="1" applyFont="1" applyFill="1" applyBorder="1" applyAlignment="1" applyProtection="1">
      <alignment horizontal="center"/>
    </xf>
    <xf numFmtId="0" fontId="4" fillId="11" borderId="5" xfId="8" applyFill="1" applyBorder="1"/>
    <xf numFmtId="177" fontId="0" fillId="11" borderId="4" xfId="125" applyNumberFormat="1" applyFont="1" applyFill="1" applyBorder="1" applyAlignment="1" applyProtection="1">
      <alignment horizontal="center"/>
    </xf>
    <xf numFmtId="10" fontId="0" fillId="11" borderId="5" xfId="11" applyNumberFormat="1" applyFont="1" applyFill="1" applyBorder="1" applyAlignment="1" applyProtection="1">
      <alignment horizontal="center"/>
    </xf>
    <xf numFmtId="0" fontId="31" fillId="6" borderId="13" xfId="8" applyFont="1" applyFill="1" applyBorder="1"/>
    <xf numFmtId="0" fontId="30" fillId="6" borderId="28" xfId="8" applyFont="1" applyFill="1" applyBorder="1"/>
    <xf numFmtId="177" fontId="31" fillId="6" borderId="13" xfId="125" applyNumberFormat="1" applyFont="1" applyFill="1" applyBorder="1" applyAlignment="1" applyProtection="1">
      <alignment horizontal="center"/>
    </xf>
    <xf numFmtId="10" fontId="31" fillId="6" borderId="28" xfId="11" applyNumberFormat="1" applyFont="1" applyFill="1" applyBorder="1" applyAlignment="1" applyProtection="1">
      <alignment horizontal="center"/>
    </xf>
    <xf numFmtId="177" fontId="31" fillId="6" borderId="13" xfId="8" applyNumberFormat="1" applyFont="1" applyFill="1" applyBorder="1" applyAlignment="1">
      <alignment horizontal="center"/>
    </xf>
    <xf numFmtId="168" fontId="31" fillId="6" borderId="78" xfId="125" applyNumberFormat="1" applyFont="1" applyFill="1" applyBorder="1" applyAlignment="1" applyProtection="1">
      <alignment horizontal="center"/>
    </xf>
    <xf numFmtId="10" fontId="31" fillId="6" borderId="79" xfId="11" applyNumberFormat="1" applyFont="1" applyFill="1" applyBorder="1" applyAlignment="1" applyProtection="1">
      <alignment horizontal="center"/>
    </xf>
    <xf numFmtId="168" fontId="31" fillId="6" borderId="76" xfId="8" applyNumberFormat="1" applyFont="1" applyFill="1" applyBorder="1"/>
    <xf numFmtId="9" fontId="31" fillId="6" borderId="77" xfId="11" applyFont="1" applyFill="1" applyBorder="1" applyProtection="1"/>
    <xf numFmtId="10" fontId="31" fillId="6" borderId="28" xfId="8" applyNumberFormat="1" applyFont="1" applyFill="1" applyBorder="1" applyAlignment="1">
      <alignment horizontal="center"/>
    </xf>
    <xf numFmtId="0" fontId="30" fillId="6" borderId="13" xfId="8" applyFont="1" applyFill="1" applyBorder="1" applyAlignment="1">
      <alignment horizontal="left"/>
    </xf>
    <xf numFmtId="0" fontId="30" fillId="6" borderId="13" xfId="8" applyFont="1" applyFill="1" applyBorder="1"/>
    <xf numFmtId="0" fontId="30" fillId="6" borderId="76" xfId="8" applyFont="1" applyFill="1" applyBorder="1"/>
    <xf numFmtId="0" fontId="30" fillId="6" borderId="77" xfId="8" applyFont="1" applyFill="1" applyBorder="1"/>
    <xf numFmtId="0" fontId="30" fillId="6" borderId="4" xfId="8" applyFont="1" applyFill="1" applyBorder="1"/>
    <xf numFmtId="168" fontId="77" fillId="6" borderId="13" xfId="125" applyNumberFormat="1" applyFont="1" applyFill="1" applyBorder="1" applyAlignment="1" applyProtection="1">
      <alignment horizontal="center"/>
    </xf>
    <xf numFmtId="168" fontId="31" fillId="6" borderId="13" xfId="125" applyNumberFormat="1" applyFont="1" applyFill="1" applyBorder="1" applyAlignment="1" applyProtection="1">
      <alignment horizontal="center"/>
    </xf>
    <xf numFmtId="10" fontId="0" fillId="6" borderId="28" xfId="11" applyNumberFormat="1" applyFont="1" applyFill="1" applyBorder="1" applyAlignment="1" applyProtection="1">
      <alignment horizontal="center"/>
    </xf>
    <xf numFmtId="177" fontId="54" fillId="6" borderId="13" xfId="8" applyNumberFormat="1" applyFont="1" applyFill="1" applyBorder="1" applyAlignment="1">
      <alignment horizontal="center"/>
    </xf>
    <xf numFmtId="10" fontId="54" fillId="6" borderId="48" xfId="8" applyNumberFormat="1" applyFont="1" applyFill="1" applyBorder="1" applyAlignment="1">
      <alignment horizontal="center"/>
    </xf>
    <xf numFmtId="0" fontId="80" fillId="0" borderId="0" xfId="8" applyFont="1" applyBorder="1" applyAlignment="1">
      <alignment horizontal="center"/>
    </xf>
    <xf numFmtId="9" fontId="4" fillId="0" borderId="0" xfId="11" applyFill="1" applyBorder="1" applyAlignment="1">
      <alignment horizontal="center"/>
    </xf>
    <xf numFmtId="177" fontId="4" fillId="0" borderId="0" xfId="8" applyNumberFormat="1" applyBorder="1" applyAlignment="1">
      <alignment horizontal="center"/>
    </xf>
    <xf numFmtId="165" fontId="77" fillId="0" borderId="0" xfId="125" applyNumberFormat="1" applyFont="1" applyFill="1" applyBorder="1" applyAlignment="1">
      <alignment horizontal="center"/>
    </xf>
    <xf numFmtId="9" fontId="4" fillId="0" borderId="0" xfId="11" applyFont="1" applyFill="1" applyBorder="1" applyAlignment="1">
      <alignment horizontal="center"/>
    </xf>
    <xf numFmtId="10" fontId="4" fillId="7" borderId="0" xfId="11" applyNumberFormat="1" applyFont="1" applyFill="1" applyBorder="1" applyAlignment="1">
      <alignment horizontal="center"/>
    </xf>
    <xf numFmtId="170" fontId="4" fillId="0" borderId="3" xfId="8" applyNumberFormat="1" applyBorder="1"/>
    <xf numFmtId="10" fontId="8" fillId="0" borderId="5" xfId="8" applyNumberFormat="1" applyFont="1" applyBorder="1"/>
    <xf numFmtId="0" fontId="4" fillId="0" borderId="8" xfId="8" applyNumberFormat="1" applyBorder="1" applyAlignment="1">
      <alignment horizontal="center"/>
    </xf>
    <xf numFmtId="0" fontId="65" fillId="17" borderId="84" xfId="8" applyFont="1" applyFill="1" applyBorder="1"/>
    <xf numFmtId="167" fontId="65" fillId="17" borderId="13" xfId="125" applyFont="1" applyFill="1" applyBorder="1"/>
    <xf numFmtId="10" fontId="66" fillId="17" borderId="28" xfId="11" applyNumberFormat="1" applyFont="1" applyFill="1" applyBorder="1"/>
    <xf numFmtId="167" fontId="66" fillId="17" borderId="13" xfId="125" applyFont="1" applyFill="1" applyBorder="1"/>
    <xf numFmtId="10" fontId="66" fillId="17" borderId="28" xfId="8" applyNumberFormat="1" applyFont="1" applyFill="1" applyBorder="1"/>
    <xf numFmtId="0" fontId="30" fillId="6" borderId="66" xfId="8" applyFont="1" applyFill="1" applyBorder="1"/>
    <xf numFmtId="0" fontId="31" fillId="6" borderId="69" xfId="8" applyFont="1" applyFill="1" applyBorder="1"/>
    <xf numFmtId="167" fontId="30" fillId="6" borderId="67" xfId="125" applyFont="1" applyFill="1" applyBorder="1"/>
    <xf numFmtId="10" fontId="30" fillId="6" borderId="68" xfId="8" applyNumberFormat="1" applyFont="1" applyFill="1" applyBorder="1"/>
    <xf numFmtId="167" fontId="31" fillId="6" borderId="70" xfId="125" applyFont="1" applyFill="1" applyBorder="1"/>
    <xf numFmtId="10" fontId="31" fillId="6" borderId="71" xfId="8" applyNumberFormat="1" applyFont="1" applyFill="1" applyBorder="1"/>
    <xf numFmtId="166" fontId="31" fillId="6" borderId="70" xfId="125" applyNumberFormat="1" applyFont="1" applyFill="1" applyBorder="1"/>
    <xf numFmtId="170" fontId="48" fillId="24" borderId="1" xfId="8" applyNumberFormat="1" applyFont="1" applyFill="1" applyBorder="1"/>
    <xf numFmtId="177" fontId="57" fillId="22" borderId="3" xfId="8" applyNumberFormat="1" applyFont="1" applyFill="1" applyBorder="1"/>
    <xf numFmtId="0" fontId="8" fillId="7" borderId="0" xfId="8" applyFont="1" applyFill="1" applyBorder="1"/>
    <xf numFmtId="0" fontId="30" fillId="7" borderId="0" xfId="8" applyFont="1" applyFill="1" applyBorder="1"/>
    <xf numFmtId="165" fontId="30" fillId="7" borderId="0" xfId="8" applyNumberFormat="1" applyFont="1" applyFill="1" applyBorder="1" applyAlignment="1">
      <alignment horizontal="center"/>
    </xf>
    <xf numFmtId="10" fontId="30" fillId="7" borderId="0" xfId="11" applyNumberFormat="1" applyFont="1" applyFill="1" applyBorder="1" applyAlignment="1">
      <alignment horizontal="center"/>
    </xf>
    <xf numFmtId="177" fontId="30" fillId="7" borderId="0" xfId="8" applyNumberFormat="1" applyFont="1" applyFill="1" applyBorder="1" applyAlignment="1">
      <alignment horizontal="center"/>
    </xf>
    <xf numFmtId="0" fontId="4" fillId="7" borderId="0" xfId="8" applyFill="1" applyBorder="1" applyAlignment="1">
      <alignment horizontal="center"/>
    </xf>
    <xf numFmtId="0" fontId="4" fillId="7" borderId="51" xfId="8" applyFill="1" applyBorder="1" applyAlignment="1">
      <alignment horizontal="center"/>
    </xf>
    <xf numFmtId="0" fontId="4" fillId="7" borderId="5" xfId="8" applyFill="1" applyBorder="1" applyAlignment="1">
      <alignment horizontal="center"/>
    </xf>
    <xf numFmtId="0" fontId="4" fillId="7" borderId="4" xfId="8" applyFill="1" applyBorder="1" applyAlignment="1">
      <alignment horizontal="center"/>
    </xf>
    <xf numFmtId="165" fontId="30" fillId="26" borderId="1" xfId="8" applyNumberFormat="1" applyFont="1" applyFill="1" applyBorder="1" applyAlignment="1">
      <alignment horizontal="center"/>
    </xf>
    <xf numFmtId="10" fontId="30" fillId="26" borderId="3" xfId="11" applyNumberFormat="1" applyFont="1" applyFill="1" applyBorder="1" applyAlignment="1">
      <alignment horizontal="center"/>
    </xf>
    <xf numFmtId="165" fontId="30" fillId="26" borderId="6" xfId="8" applyNumberFormat="1" applyFont="1" applyFill="1" applyBorder="1" applyAlignment="1">
      <alignment horizontal="center"/>
    </xf>
    <xf numFmtId="10" fontId="30" fillId="26" borderId="8" xfId="8" applyNumberFormat="1" applyFont="1" applyFill="1" applyBorder="1" applyAlignment="1">
      <alignment horizontal="center"/>
    </xf>
    <xf numFmtId="177" fontId="30" fillId="26" borderId="1" xfId="8" applyNumberFormat="1" applyFont="1" applyFill="1" applyBorder="1" applyAlignment="1">
      <alignment horizontal="center"/>
    </xf>
    <xf numFmtId="177" fontId="30" fillId="26" borderId="6" xfId="8" applyNumberFormat="1" applyFont="1" applyFill="1" applyBorder="1" applyAlignment="1">
      <alignment horizontal="center"/>
    </xf>
    <xf numFmtId="181" fontId="48" fillId="5" borderId="48" xfId="8" applyNumberFormat="1" applyFont="1" applyFill="1" applyBorder="1" applyAlignment="1">
      <alignment horizontal="center"/>
    </xf>
    <xf numFmtId="180" fontId="35" fillId="5" borderId="48" xfId="8" applyNumberFormat="1" applyFont="1" applyFill="1" applyBorder="1" applyAlignment="1" applyProtection="1">
      <alignment horizontal="center"/>
    </xf>
    <xf numFmtId="0" fontId="54" fillId="17" borderId="48" xfId="8" applyFont="1" applyFill="1" applyBorder="1"/>
    <xf numFmtId="167" fontId="54" fillId="17" borderId="13" xfId="8" applyNumberFormat="1" applyFont="1" applyFill="1" applyBorder="1"/>
    <xf numFmtId="10" fontId="54" fillId="17" borderId="28" xfId="8" applyNumberFormat="1" applyFont="1" applyFill="1" applyBorder="1"/>
    <xf numFmtId="166" fontId="54" fillId="17" borderId="13" xfId="6" applyNumberFormat="1" applyFont="1" applyFill="1" applyBorder="1"/>
    <xf numFmtId="167" fontId="30" fillId="6" borderId="13" xfId="6" applyFont="1" applyFill="1" applyBorder="1"/>
    <xf numFmtId="10" fontId="30" fillId="6" borderId="28" xfId="8" applyNumberFormat="1" applyFont="1" applyFill="1" applyBorder="1"/>
    <xf numFmtId="177" fontId="57" fillId="14" borderId="3" xfId="8" applyNumberFormat="1" applyFont="1" applyFill="1" applyBorder="1"/>
    <xf numFmtId="170" fontId="48" fillId="14" borderId="1" xfId="8" applyNumberFormat="1" applyFont="1" applyFill="1" applyBorder="1"/>
    <xf numFmtId="0" fontId="48" fillId="0" borderId="51" xfId="8" applyFont="1" applyBorder="1"/>
    <xf numFmtId="178" fontId="51" fillId="15" borderId="3" xfId="125" applyNumberFormat="1" applyFont="1" applyFill="1" applyBorder="1"/>
    <xf numFmtId="170" fontId="48" fillId="14" borderId="1" xfId="8" applyNumberFormat="1" applyFont="1" applyFill="1" applyBorder="1" applyAlignment="1">
      <alignment horizontal="center"/>
    </xf>
    <xf numFmtId="165" fontId="48" fillId="15" borderId="52" xfId="8" applyNumberFormat="1" applyFont="1" applyFill="1" applyBorder="1" applyAlignment="1">
      <alignment horizontal="center" vertical="justify" wrapText="1"/>
    </xf>
    <xf numFmtId="170" fontId="48" fillId="15" borderId="1" xfId="8" applyNumberFormat="1" applyFont="1" applyFill="1" applyBorder="1" applyAlignment="1">
      <alignment horizontal="center"/>
    </xf>
    <xf numFmtId="10" fontId="48" fillId="15" borderId="4" xfId="8" applyNumberFormat="1" applyFont="1" applyFill="1" applyBorder="1" applyAlignment="1">
      <alignment horizontal="center"/>
    </xf>
    <xf numFmtId="171" fontId="48" fillId="19" borderId="4" xfId="8" applyNumberFormat="1" applyFont="1" applyFill="1" applyBorder="1" applyAlignment="1">
      <alignment horizontal="center"/>
    </xf>
    <xf numFmtId="0" fontId="48" fillId="15" borderId="6" xfId="8" applyNumberFormat="1" applyFont="1" applyFill="1" applyBorder="1" applyAlignment="1">
      <alignment horizontal="center"/>
    </xf>
    <xf numFmtId="0" fontId="48" fillId="15" borderId="8" xfId="8" applyNumberFormat="1" applyFont="1" applyFill="1" applyBorder="1" applyAlignment="1">
      <alignment horizontal="center"/>
    </xf>
    <xf numFmtId="3" fontId="48" fillId="15" borderId="51" xfId="8" applyNumberFormat="1" applyFont="1" applyFill="1" applyBorder="1" applyAlignment="1">
      <alignment horizontal="center"/>
    </xf>
    <xf numFmtId="170" fontId="48" fillId="15" borderId="5" xfId="8" applyNumberFormat="1" applyFont="1" applyFill="1" applyBorder="1"/>
    <xf numFmtId="10" fontId="48" fillId="15" borderId="5" xfId="8" applyNumberFormat="1" applyFont="1" applyFill="1" applyBorder="1"/>
    <xf numFmtId="10" fontId="48" fillId="15" borderId="8" xfId="8" applyNumberFormat="1" applyFont="1" applyFill="1" applyBorder="1" applyAlignment="1">
      <alignment horizontal="center"/>
    </xf>
    <xf numFmtId="170" fontId="48" fillId="15" borderId="1" xfId="8" applyNumberFormat="1" applyFont="1" applyFill="1" applyBorder="1"/>
    <xf numFmtId="178" fontId="51" fillId="14" borderId="3" xfId="125" applyNumberFormat="1" applyFont="1" applyFill="1" applyBorder="1"/>
    <xf numFmtId="170" fontId="48" fillId="14" borderId="5" xfId="8" applyNumberFormat="1" applyFont="1" applyFill="1" applyBorder="1"/>
    <xf numFmtId="10" fontId="48" fillId="14" borderId="5" xfId="8" applyNumberFormat="1" applyFont="1" applyFill="1" applyBorder="1"/>
    <xf numFmtId="0" fontId="48" fillId="15" borderId="4" xfId="8" applyFont="1" applyFill="1" applyBorder="1" applyAlignment="1">
      <alignment horizontal="center"/>
    </xf>
    <xf numFmtId="0" fontId="48" fillId="15" borderId="5" xfId="8" applyFont="1" applyFill="1" applyBorder="1" applyAlignment="1">
      <alignment horizontal="center"/>
    </xf>
    <xf numFmtId="10" fontId="48" fillId="15" borderId="5" xfId="8" applyNumberFormat="1" applyFont="1" applyFill="1" applyBorder="1" applyAlignment="1">
      <alignment horizontal="center"/>
    </xf>
    <xf numFmtId="170" fontId="48" fillId="14" borderId="5" xfId="8" applyNumberFormat="1" applyFont="1" applyFill="1" applyBorder="1" applyAlignment="1">
      <alignment horizontal="center"/>
    </xf>
    <xf numFmtId="10" fontId="48" fillId="14" borderId="4" xfId="8" applyNumberFormat="1" applyFont="1" applyFill="1" applyBorder="1" applyAlignment="1">
      <alignment horizontal="center"/>
    </xf>
    <xf numFmtId="10" fontId="48" fillId="14" borderId="5" xfId="8" applyNumberFormat="1" applyFont="1" applyFill="1" applyBorder="1" applyAlignment="1">
      <alignment horizontal="center"/>
    </xf>
    <xf numFmtId="0" fontId="48" fillId="14" borderId="6" xfId="8" applyFont="1" applyFill="1" applyBorder="1" applyAlignment="1">
      <alignment horizontal="center"/>
    </xf>
    <xf numFmtId="0" fontId="48" fillId="14" borderId="8" xfId="8" applyFont="1" applyFill="1" applyBorder="1" applyAlignment="1">
      <alignment horizontal="center"/>
    </xf>
    <xf numFmtId="170" fontId="30" fillId="6" borderId="1" xfId="8" applyNumberFormat="1" applyFont="1" applyFill="1" applyBorder="1" applyAlignment="1">
      <alignment horizontal="center"/>
    </xf>
    <xf numFmtId="170" fontId="30" fillId="6" borderId="5" xfId="8" applyNumberFormat="1" applyFont="1" applyFill="1" applyBorder="1" applyAlignment="1">
      <alignment horizontal="center"/>
    </xf>
    <xf numFmtId="0" fontId="30" fillId="6" borderId="8" xfId="8" applyFont="1" applyFill="1" applyBorder="1" applyAlignment="1">
      <alignment horizontal="center"/>
    </xf>
    <xf numFmtId="170" fontId="48" fillId="22" borderId="1" xfId="8" applyNumberFormat="1" applyFont="1" applyFill="1" applyBorder="1"/>
    <xf numFmtId="10" fontId="48" fillId="22" borderId="4" xfId="8" applyNumberFormat="1" applyFont="1" applyFill="1" applyBorder="1" applyAlignment="1">
      <alignment horizontal="center"/>
    </xf>
    <xf numFmtId="10" fontId="48" fillId="22" borderId="5" xfId="8" applyNumberFormat="1" applyFont="1" applyFill="1" applyBorder="1" applyAlignment="1">
      <alignment horizontal="center"/>
    </xf>
    <xf numFmtId="170" fontId="48" fillId="22" borderId="4" xfId="8" applyNumberFormat="1" applyFont="1" applyFill="1" applyBorder="1" applyAlignment="1">
      <alignment horizontal="center"/>
    </xf>
    <xf numFmtId="0" fontId="48" fillId="22" borderId="5" xfId="8" applyFont="1" applyFill="1" applyBorder="1" applyAlignment="1">
      <alignment horizontal="center"/>
    </xf>
    <xf numFmtId="170" fontId="48" fillId="22" borderId="6" xfId="8" applyNumberFormat="1" applyFont="1" applyFill="1" applyBorder="1" applyAlignment="1">
      <alignment horizontal="center"/>
    </xf>
    <xf numFmtId="9" fontId="48" fillId="22" borderId="8" xfId="8" applyNumberFormat="1" applyFont="1" applyFill="1" applyBorder="1" applyAlignment="1">
      <alignment horizontal="center"/>
    </xf>
    <xf numFmtId="170" fontId="48" fillId="19" borderId="8" xfId="8" applyNumberFormat="1" applyFont="1" applyFill="1" applyBorder="1" applyAlignment="1">
      <alignment horizontal="center"/>
    </xf>
    <xf numFmtId="170" fontId="48" fillId="22" borderId="8" xfId="8" applyNumberFormat="1" applyFont="1" applyFill="1" applyBorder="1" applyAlignment="1">
      <alignment horizontal="center"/>
    </xf>
    <xf numFmtId="170" fontId="48" fillId="0" borderId="0" xfId="8" applyNumberFormat="1" applyFont="1"/>
    <xf numFmtId="10" fontId="48" fillId="0" borderId="0" xfId="8" applyNumberFormat="1" applyFont="1" applyAlignment="1">
      <alignment horizontal="center"/>
    </xf>
    <xf numFmtId="0" fontId="48" fillId="0" borderId="0" xfId="8" applyFont="1" applyAlignment="1">
      <alignment horizontal="center"/>
    </xf>
    <xf numFmtId="10" fontId="48" fillId="24" borderId="5" xfId="8" applyNumberFormat="1" applyFont="1" applyFill="1" applyBorder="1" applyAlignment="1">
      <alignment horizontal="center"/>
    </xf>
    <xf numFmtId="170" fontId="48" fillId="24" borderId="4" xfId="8" applyNumberFormat="1" applyFont="1" applyFill="1" applyBorder="1" applyAlignment="1">
      <alignment horizontal="center"/>
    </xf>
    <xf numFmtId="170" fontId="48" fillId="24" borderId="6" xfId="8" applyNumberFormat="1" applyFont="1" applyFill="1" applyBorder="1" applyAlignment="1">
      <alignment horizontal="center"/>
    </xf>
    <xf numFmtId="9" fontId="48" fillId="24" borderId="8" xfId="8" applyNumberFormat="1" applyFont="1" applyFill="1" applyBorder="1" applyAlignment="1">
      <alignment horizontal="center"/>
    </xf>
    <xf numFmtId="170" fontId="48" fillId="14" borderId="4" xfId="8" applyNumberFormat="1" applyFont="1" applyFill="1" applyBorder="1" applyAlignment="1">
      <alignment horizontal="center"/>
    </xf>
    <xf numFmtId="170" fontId="48" fillId="14" borderId="6" xfId="8" applyNumberFormat="1" applyFont="1" applyFill="1" applyBorder="1" applyAlignment="1">
      <alignment horizontal="center"/>
    </xf>
    <xf numFmtId="9" fontId="48" fillId="14" borderId="8" xfId="11" applyFont="1" applyFill="1" applyBorder="1" applyAlignment="1" applyProtection="1">
      <alignment horizontal="center"/>
    </xf>
    <xf numFmtId="170" fontId="48" fillId="15" borderId="8" xfId="8" applyNumberFormat="1" applyFont="1" applyFill="1" applyBorder="1" applyAlignment="1">
      <alignment horizontal="center"/>
    </xf>
    <xf numFmtId="170" fontId="48" fillId="14" borderId="8" xfId="8" applyNumberFormat="1" applyFont="1" applyFill="1" applyBorder="1" applyAlignment="1">
      <alignment horizontal="center"/>
    </xf>
    <xf numFmtId="170" fontId="48" fillId="15" borderId="6" xfId="8" applyNumberFormat="1" applyFont="1" applyFill="1" applyBorder="1" applyAlignment="1">
      <alignment horizontal="center"/>
    </xf>
    <xf numFmtId="170" fontId="48" fillId="0" borderId="0" xfId="8" applyNumberFormat="1" applyFont="1" applyAlignment="1">
      <alignment horizontal="center"/>
    </xf>
    <xf numFmtId="170" fontId="48" fillId="0" borderId="51" xfId="8" applyNumberFormat="1" applyFont="1" applyBorder="1"/>
    <xf numFmtId="10" fontId="48" fillId="0" borderId="51" xfId="8" applyNumberFormat="1" applyFont="1" applyBorder="1" applyAlignment="1">
      <alignment horizontal="center"/>
    </xf>
    <xf numFmtId="0" fontId="48" fillId="0" borderId="51" xfId="8" applyFont="1" applyBorder="1" applyAlignment="1">
      <alignment horizontal="center"/>
    </xf>
    <xf numFmtId="170" fontId="48" fillId="0" borderId="51" xfId="8" applyNumberFormat="1" applyFont="1" applyBorder="1" applyAlignment="1">
      <alignment horizontal="center"/>
    </xf>
    <xf numFmtId="170" fontId="48" fillId="11" borderId="1" xfId="8" applyNumberFormat="1" applyFont="1" applyFill="1" applyBorder="1"/>
    <xf numFmtId="177" fontId="57" fillId="11" borderId="3" xfId="8" applyNumberFormat="1" applyFont="1" applyFill="1" applyBorder="1"/>
    <xf numFmtId="10" fontId="35" fillId="11" borderId="4" xfId="8" applyNumberFormat="1" applyFont="1" applyFill="1" applyBorder="1" applyAlignment="1">
      <alignment horizontal="center"/>
    </xf>
    <xf numFmtId="10" fontId="48" fillId="11" borderId="5" xfId="8" applyNumberFormat="1" applyFont="1" applyFill="1" applyBorder="1" applyAlignment="1">
      <alignment horizontal="center"/>
    </xf>
    <xf numFmtId="170" fontId="48" fillId="11" borderId="4" xfId="8" applyNumberFormat="1" applyFont="1" applyFill="1" applyBorder="1" applyAlignment="1">
      <alignment horizontal="center"/>
    </xf>
    <xf numFmtId="0" fontId="48" fillId="27" borderId="5" xfId="8" applyFont="1" applyFill="1" applyBorder="1" applyAlignment="1">
      <alignment horizontal="center"/>
    </xf>
    <xf numFmtId="170" fontId="48" fillId="11" borderId="6" xfId="8" applyNumberFormat="1" applyFont="1" applyFill="1" applyBorder="1" applyAlignment="1">
      <alignment horizontal="center"/>
    </xf>
    <xf numFmtId="9" fontId="48" fillId="11" borderId="8" xfId="11" applyFont="1" applyFill="1" applyBorder="1" applyAlignment="1" applyProtection="1">
      <alignment horizontal="center"/>
    </xf>
    <xf numFmtId="0" fontId="4" fillId="11" borderId="1" xfId="8" applyFill="1" applyBorder="1"/>
    <xf numFmtId="0" fontId="4" fillId="11" borderId="2" xfId="8" applyFill="1" applyBorder="1"/>
    <xf numFmtId="0" fontId="4" fillId="11" borderId="3" xfId="8" applyFill="1" applyBorder="1"/>
    <xf numFmtId="0" fontId="4" fillId="11" borderId="0" xfId="8" applyFill="1"/>
    <xf numFmtId="0" fontId="4" fillId="11" borderId="0" xfId="8" applyFill="1" applyAlignment="1">
      <alignment horizontal="left"/>
    </xf>
    <xf numFmtId="0" fontId="4" fillId="11" borderId="6" xfId="8" applyFill="1" applyBorder="1"/>
    <xf numFmtId="0" fontId="4" fillId="11" borderId="7" xfId="8" applyFill="1" applyBorder="1"/>
    <xf numFmtId="0" fontId="4" fillId="11" borderId="8" xfId="8" applyFill="1" applyBorder="1"/>
    <xf numFmtId="7" fontId="4" fillId="0" borderId="0" xfId="8" applyNumberFormat="1"/>
    <xf numFmtId="3" fontId="4" fillId="0" borderId="0" xfId="8" applyNumberFormat="1"/>
    <xf numFmtId="0" fontId="6" fillId="14" borderId="50" xfId="8" applyFont="1" applyFill="1" applyBorder="1"/>
    <xf numFmtId="0" fontId="6" fillId="14" borderId="51" xfId="8" applyFont="1" applyFill="1" applyBorder="1"/>
    <xf numFmtId="0" fontId="6" fillId="14" borderId="52" xfId="8" applyFont="1" applyFill="1" applyBorder="1"/>
    <xf numFmtId="0" fontId="84" fillId="14" borderId="50" xfId="8" applyFont="1" applyFill="1" applyBorder="1" applyAlignment="1" applyProtection="1">
      <alignment horizontal="left"/>
      <protection locked="0"/>
    </xf>
    <xf numFmtId="0" fontId="84" fillId="14" borderId="51" xfId="8" applyFont="1" applyFill="1" applyBorder="1" applyAlignment="1" applyProtection="1">
      <alignment horizontal="left"/>
      <protection locked="0"/>
    </xf>
    <xf numFmtId="0" fontId="84" fillId="14" borderId="52" xfId="8" applyFont="1" applyFill="1" applyBorder="1" applyAlignment="1" applyProtection="1">
      <alignment horizontal="left"/>
      <protection locked="0"/>
    </xf>
    <xf numFmtId="0" fontId="73" fillId="6" borderId="0" xfId="124" applyNumberFormat="1" applyFont="1" applyFill="1" applyBorder="1" applyAlignment="1">
      <alignment horizontal="center"/>
    </xf>
    <xf numFmtId="165" fontId="34" fillId="11" borderId="0" xfId="124" applyNumberFormat="1" applyFont="1" applyFill="1" applyBorder="1" applyAlignment="1">
      <alignment horizontal="center"/>
    </xf>
    <xf numFmtId="3" fontId="34" fillId="11" borderId="0" xfId="124" applyNumberFormat="1" applyFont="1" applyFill="1" applyBorder="1" applyAlignment="1">
      <alignment horizontal="center"/>
    </xf>
    <xf numFmtId="39" fontId="34" fillId="11" borderId="0" xfId="124" applyNumberFormat="1" applyFont="1" applyFill="1" applyBorder="1" applyAlignment="1" applyProtection="1">
      <alignment horizontal="center"/>
    </xf>
    <xf numFmtId="165" fontId="34" fillId="11" borderId="0" xfId="124" applyNumberFormat="1" applyFont="1" applyFill="1" applyBorder="1" applyAlignment="1" applyProtection="1">
      <alignment horizontal="center"/>
    </xf>
    <xf numFmtId="10" fontId="44" fillId="5" borderId="5" xfId="8" applyNumberFormat="1" applyFont="1" applyFill="1" applyBorder="1" applyProtection="1">
      <protection locked="0"/>
    </xf>
    <xf numFmtId="167" fontId="44" fillId="5" borderId="48" xfId="8" applyNumberFormat="1" applyFont="1" applyFill="1" applyBorder="1" applyAlignment="1" applyProtection="1">
      <protection locked="0"/>
    </xf>
    <xf numFmtId="10" fontId="44" fillId="5" borderId="59" xfId="8" applyNumberFormat="1" applyFont="1" applyFill="1" applyBorder="1" applyProtection="1">
      <protection locked="0"/>
    </xf>
    <xf numFmtId="165" fontId="16" fillId="0" borderId="4" xfId="125" applyNumberFormat="1" applyFont="1" applyBorder="1" applyAlignment="1" applyProtection="1">
      <alignment horizontal="center"/>
      <protection locked="0"/>
    </xf>
    <xf numFmtId="165" fontId="16" fillId="0" borderId="4" xfId="125" applyNumberFormat="1" applyFont="1" applyFill="1" applyBorder="1" applyAlignment="1" applyProtection="1">
      <alignment horizontal="center"/>
      <protection locked="0"/>
    </xf>
    <xf numFmtId="170" fontId="4" fillId="22" borderId="1" xfId="8" applyNumberFormat="1" applyFill="1" applyBorder="1" applyAlignment="1">
      <alignment horizontal="center"/>
    </xf>
    <xf numFmtId="177" fontId="15" fillId="22" borderId="3" xfId="8" applyNumberFormat="1" applyFont="1" applyFill="1" applyBorder="1"/>
    <xf numFmtId="170" fontId="4" fillId="24" borderId="1" xfId="8" applyNumberFormat="1" applyFill="1" applyBorder="1" applyAlignment="1">
      <alignment horizontal="center"/>
    </xf>
    <xf numFmtId="177" fontId="15" fillId="24" borderId="3" xfId="8" applyNumberFormat="1" applyFont="1" applyFill="1" applyBorder="1"/>
    <xf numFmtId="0" fontId="4" fillId="22" borderId="5" xfId="8" applyFill="1" applyBorder="1"/>
    <xf numFmtId="0" fontId="4" fillId="23" borderId="0" xfId="8" applyFill="1"/>
    <xf numFmtId="10" fontId="4" fillId="24" borderId="4" xfId="8" applyNumberFormat="1" applyFill="1" applyBorder="1" applyAlignment="1">
      <alignment horizontal="center"/>
    </xf>
    <xf numFmtId="0" fontId="4" fillId="24" borderId="5" xfId="8" applyFill="1" applyBorder="1" applyAlignment="1">
      <alignment horizontal="right"/>
    </xf>
    <xf numFmtId="0" fontId="8" fillId="22" borderId="5" xfId="8" applyFont="1" applyFill="1" applyBorder="1" applyAlignment="1">
      <alignment horizontal="center"/>
    </xf>
    <xf numFmtId="170" fontId="8" fillId="22" borderId="4" xfId="8" applyNumberFormat="1" applyFont="1" applyFill="1" applyBorder="1" applyAlignment="1">
      <alignment horizontal="center"/>
    </xf>
    <xf numFmtId="10" fontId="4" fillId="25" borderId="0" xfId="8" applyNumberFormat="1" applyFill="1" applyAlignment="1">
      <alignment horizontal="center"/>
    </xf>
    <xf numFmtId="170" fontId="8" fillId="24" borderId="4" xfId="8" applyNumberFormat="1" applyFont="1" applyFill="1" applyBorder="1" applyAlignment="1">
      <alignment horizontal="center"/>
    </xf>
    <xf numFmtId="49" fontId="4" fillId="0" borderId="0" xfId="8" applyNumberFormat="1"/>
    <xf numFmtId="0" fontId="4" fillId="0" borderId="1" xfId="8" applyBorder="1"/>
    <xf numFmtId="0" fontId="4" fillId="0" borderId="3" xfId="8" applyBorder="1"/>
    <xf numFmtId="0" fontId="15" fillId="0" borderId="5" xfId="8" applyFont="1" applyBorder="1"/>
    <xf numFmtId="0" fontId="8" fillId="0" borderId="4" xfId="8" applyFont="1" applyBorder="1"/>
    <xf numFmtId="44" fontId="13" fillId="0" borderId="4" xfId="127" applyFont="1" applyBorder="1" applyAlignment="1" applyProtection="1">
      <alignment horizontal="right"/>
      <protection locked="0"/>
    </xf>
    <xf numFmtId="10" fontId="42" fillId="7" borderId="85" xfId="11" applyNumberFormat="1" applyFont="1" applyFill="1" applyBorder="1" applyProtection="1"/>
    <xf numFmtId="44" fontId="8" fillId="11" borderId="4" xfId="127" applyFont="1" applyFill="1" applyBorder="1" applyProtection="1"/>
    <xf numFmtId="10" fontId="8" fillId="11" borderId="85" xfId="11" applyNumberFormat="1" applyFont="1" applyFill="1" applyBorder="1" applyProtection="1"/>
    <xf numFmtId="44" fontId="13" fillId="0" borderId="4" xfId="127" applyFont="1" applyBorder="1" applyAlignment="1" applyProtection="1">
      <alignment horizontal="right"/>
    </xf>
    <xf numFmtId="10" fontId="42" fillId="7" borderId="86" xfId="11" applyNumberFormat="1" applyFont="1" applyFill="1" applyBorder="1" applyProtection="1"/>
    <xf numFmtId="9" fontId="0" fillId="0" borderId="0" xfId="11" applyFont="1" applyFill="1" applyBorder="1" applyProtection="1"/>
    <xf numFmtId="10" fontId="13" fillId="0" borderId="5" xfId="11" applyNumberFormat="1" applyFont="1" applyBorder="1" applyProtection="1"/>
    <xf numFmtId="10" fontId="35" fillId="11" borderId="5" xfId="11" applyNumberFormat="1" applyFont="1" applyFill="1" applyBorder="1" applyProtection="1"/>
    <xf numFmtId="44" fontId="54" fillId="17" borderId="13" xfId="8" applyNumberFormat="1" applyFont="1" applyFill="1" applyBorder="1" applyAlignment="1">
      <alignment horizontal="right"/>
    </xf>
    <xf numFmtId="10" fontId="54" fillId="17" borderId="28" xfId="11" applyNumberFormat="1" applyFont="1" applyFill="1" applyBorder="1" applyProtection="1"/>
    <xf numFmtId="44" fontId="54" fillId="17" borderId="13" xfId="8" applyNumberFormat="1" applyFont="1" applyFill="1" applyBorder="1"/>
    <xf numFmtId="182" fontId="0" fillId="0" borderId="0" xfId="127" applyNumberFormat="1" applyFont="1" applyProtection="1"/>
    <xf numFmtId="0" fontId="4" fillId="22" borderId="6" xfId="8" applyNumberFormat="1" applyFill="1" applyBorder="1" applyAlignment="1">
      <alignment horizontal="center"/>
    </xf>
    <xf numFmtId="0" fontId="4" fillId="22" borderId="8" xfId="8" applyNumberFormat="1" applyFill="1" applyBorder="1" applyAlignment="1">
      <alignment horizontal="center"/>
    </xf>
    <xf numFmtId="0" fontId="4" fillId="19" borderId="6" xfId="8" applyNumberFormat="1" applyFill="1" applyBorder="1" applyAlignment="1">
      <alignment horizontal="center"/>
    </xf>
    <xf numFmtId="0" fontId="4" fillId="19" borderId="8" xfId="8" applyNumberFormat="1" applyFill="1" applyBorder="1" applyAlignment="1">
      <alignment horizontal="center"/>
    </xf>
    <xf numFmtId="0" fontId="8" fillId="23" borderId="0" xfId="8" applyNumberFormat="1" applyFont="1" applyFill="1" applyAlignment="1">
      <alignment horizontal="center"/>
    </xf>
    <xf numFmtId="0" fontId="4" fillId="24" borderId="6" xfId="8" applyNumberFormat="1" applyFill="1" applyBorder="1" applyAlignment="1">
      <alignment horizontal="center"/>
    </xf>
    <xf numFmtId="0" fontId="4" fillId="24" borderId="8" xfId="8" applyNumberFormat="1" applyFill="1" applyBorder="1" applyAlignment="1">
      <alignment horizontal="center"/>
    </xf>
    <xf numFmtId="0" fontId="8" fillId="0" borderId="0" xfId="8" applyNumberFormat="1" applyFont="1"/>
    <xf numFmtId="170" fontId="42" fillId="27" borderId="1" xfId="8" applyNumberFormat="1" applyFont="1" applyFill="1" applyBorder="1" applyAlignment="1">
      <alignment horizontal="center"/>
    </xf>
    <xf numFmtId="177" fontId="89" fillId="27" borderId="3" xfId="8" applyNumberFormat="1" applyFont="1" applyFill="1" applyBorder="1"/>
    <xf numFmtId="10" fontId="42" fillId="27" borderId="4" xfId="8" applyNumberFormat="1" applyFont="1" applyFill="1" applyBorder="1" applyAlignment="1">
      <alignment horizontal="center"/>
    </xf>
    <xf numFmtId="0" fontId="42" fillId="27" borderId="5" xfId="8" applyFont="1" applyFill="1" applyBorder="1" applyAlignment="1">
      <alignment horizontal="right"/>
    </xf>
    <xf numFmtId="170" fontId="35" fillId="27" borderId="4" xfId="8" applyNumberFormat="1" applyFont="1" applyFill="1" applyBorder="1" applyAlignment="1">
      <alignment horizontal="center"/>
    </xf>
    <xf numFmtId="0" fontId="35" fillId="27" borderId="5" xfId="8" applyFont="1" applyFill="1" applyBorder="1" applyAlignment="1">
      <alignment horizontal="center"/>
    </xf>
    <xf numFmtId="0" fontId="42" fillId="27" borderId="6" xfId="8" applyNumberFormat="1" applyFont="1" applyFill="1" applyBorder="1" applyAlignment="1">
      <alignment horizontal="center"/>
    </xf>
    <xf numFmtId="0" fontId="42" fillId="27" borderId="8" xfId="8" applyNumberFormat="1" applyFont="1" applyFill="1" applyBorder="1" applyAlignment="1">
      <alignment horizontal="center"/>
    </xf>
    <xf numFmtId="0" fontId="13" fillId="0" borderId="4" xfId="8" applyFont="1" applyBorder="1" applyProtection="1"/>
    <xf numFmtId="0" fontId="13" fillId="0" borderId="5" xfId="8" applyFont="1" applyBorder="1" applyProtection="1"/>
    <xf numFmtId="0" fontId="4" fillId="0" borderId="0" xfId="8" applyProtection="1"/>
    <xf numFmtId="44" fontId="35" fillId="0" borderId="4" xfId="127" applyFont="1" applyBorder="1" applyAlignment="1" applyProtection="1">
      <alignment horizontal="right"/>
    </xf>
    <xf numFmtId="0" fontId="16" fillId="0" borderId="0" xfId="8" applyFont="1" applyProtection="1"/>
    <xf numFmtId="0" fontId="42" fillId="0" borderId="51" xfId="128" applyFont="1" applyBorder="1"/>
    <xf numFmtId="0" fontId="42" fillId="7" borderId="51" xfId="128" applyFont="1" applyFill="1" applyBorder="1"/>
    <xf numFmtId="0" fontId="8" fillId="7" borderId="4" xfId="8" applyFont="1" applyFill="1" applyBorder="1"/>
    <xf numFmtId="10" fontId="42" fillId="7" borderId="5" xfId="11" applyNumberFormat="1" applyFont="1" applyFill="1" applyBorder="1" applyProtection="1"/>
    <xf numFmtId="10" fontId="8" fillId="11" borderId="5" xfId="11" applyNumberFormat="1" applyFont="1" applyFill="1" applyBorder="1" applyProtection="1"/>
    <xf numFmtId="0" fontId="8" fillId="0" borderId="4" xfId="8" applyFont="1" applyBorder="1" applyProtection="1"/>
    <xf numFmtId="0" fontId="4" fillId="0" borderId="5" xfId="8" applyBorder="1" applyProtection="1"/>
    <xf numFmtId="0" fontId="92" fillId="0" borderId="3" xfId="128" applyFont="1" applyBorder="1"/>
    <xf numFmtId="49" fontId="4" fillId="22" borderId="6" xfId="8" applyNumberFormat="1" applyFill="1" applyBorder="1" applyAlignment="1">
      <alignment horizontal="center"/>
    </xf>
    <xf numFmtId="9" fontId="4" fillId="22" borderId="8" xfId="8" applyNumberFormat="1" applyFill="1" applyBorder="1" applyAlignment="1">
      <alignment horizontal="center"/>
    </xf>
    <xf numFmtId="0" fontId="8" fillId="0" borderId="0" xfId="8" applyFont="1" applyAlignment="1">
      <alignment horizontal="center"/>
    </xf>
    <xf numFmtId="49" fontId="4" fillId="19" borderId="6" xfId="8" applyNumberFormat="1" applyFill="1" applyBorder="1" applyAlignment="1">
      <alignment horizontal="center"/>
    </xf>
    <xf numFmtId="49" fontId="4" fillId="19" borderId="8" xfId="8" applyNumberFormat="1" applyFill="1" applyBorder="1" applyAlignment="1">
      <alignment horizontal="center"/>
    </xf>
    <xf numFmtId="49" fontId="8" fillId="0" borderId="0" xfId="8" applyNumberFormat="1" applyFont="1" applyAlignment="1">
      <alignment horizontal="center"/>
    </xf>
    <xf numFmtId="49" fontId="4" fillId="22" borderId="8" xfId="8" applyNumberFormat="1" applyFill="1" applyBorder="1" applyAlignment="1">
      <alignment horizontal="center"/>
    </xf>
    <xf numFmtId="49" fontId="8" fillId="23" borderId="0" xfId="8" applyNumberFormat="1" applyFont="1" applyFill="1" applyAlignment="1">
      <alignment horizontal="center"/>
    </xf>
    <xf numFmtId="49" fontId="4" fillId="24" borderId="6" xfId="8" applyNumberFormat="1" applyFill="1" applyBorder="1" applyAlignment="1">
      <alignment horizontal="center"/>
    </xf>
    <xf numFmtId="49" fontId="4" fillId="24" borderId="8" xfId="8" applyNumberFormat="1" applyFill="1" applyBorder="1" applyAlignment="1">
      <alignment horizontal="center"/>
    </xf>
    <xf numFmtId="49" fontId="8" fillId="0" borderId="0" xfId="8" applyNumberFormat="1" applyFont="1"/>
    <xf numFmtId="44" fontId="13" fillId="0" borderId="4" xfId="127" applyFont="1" applyBorder="1" applyAlignment="1" applyProtection="1"/>
    <xf numFmtId="44" fontId="13" fillId="7" borderId="4" xfId="127" applyFont="1" applyFill="1" applyBorder="1" applyAlignment="1" applyProtection="1">
      <alignment horizontal="right"/>
    </xf>
    <xf numFmtId="10" fontId="8" fillId="11" borderId="86" xfId="11" applyNumberFormat="1" applyFont="1" applyFill="1" applyBorder="1" applyProtection="1"/>
    <xf numFmtId="0" fontId="8" fillId="0" borderId="4" xfId="8" applyFont="1" applyBorder="1" applyAlignment="1">
      <alignment horizontal="center"/>
    </xf>
    <xf numFmtId="0" fontId="8" fillId="0" borderId="5" xfId="8" applyFont="1" applyBorder="1"/>
    <xf numFmtId="0" fontId="8" fillId="23" borderId="4" xfId="8" applyFont="1" applyFill="1" applyBorder="1" applyAlignment="1">
      <alignment horizontal="center"/>
    </xf>
    <xf numFmtId="0" fontId="8" fillId="23" borderId="5" xfId="8" applyFont="1" applyFill="1" applyBorder="1"/>
    <xf numFmtId="0" fontId="13" fillId="0" borderId="4" xfId="8" applyFont="1" applyBorder="1"/>
    <xf numFmtId="0" fontId="13" fillId="0" borderId="5" xfId="8" applyFont="1" applyBorder="1"/>
    <xf numFmtId="44" fontId="35" fillId="0" borderId="4" xfId="127" applyFont="1" applyBorder="1" applyAlignment="1" applyProtection="1">
      <alignment horizontal="right"/>
      <protection locked="0"/>
    </xf>
    <xf numFmtId="0" fontId="16" fillId="0" borderId="0" xfId="8" applyFont="1"/>
    <xf numFmtId="0" fontId="89" fillId="0" borderId="3" xfId="128" applyFont="1" applyBorder="1"/>
    <xf numFmtId="0" fontId="95" fillId="0" borderId="3" xfId="128" applyFont="1" applyBorder="1"/>
    <xf numFmtId="0" fontId="15" fillId="0" borderId="3" xfId="8" applyFont="1" applyBorder="1"/>
    <xf numFmtId="0" fontId="4" fillId="23" borderId="4" xfId="8" applyFill="1" applyBorder="1"/>
    <xf numFmtId="0" fontId="4" fillId="23" borderId="5" xfId="8" applyFill="1" applyBorder="1"/>
    <xf numFmtId="0" fontId="8" fillId="0" borderId="4" xfId="8" applyFont="1" applyBorder="1" applyAlignment="1">
      <alignment horizontal="right"/>
    </xf>
    <xf numFmtId="10" fontId="8" fillId="22" borderId="5" xfId="8" applyNumberFormat="1" applyFont="1" applyFill="1" applyBorder="1" applyAlignment="1">
      <alignment horizontal="center"/>
    </xf>
    <xf numFmtId="0" fontId="62" fillId="11" borderId="1" xfId="0" applyFont="1" applyFill="1" applyBorder="1" applyAlignment="1" applyProtection="1">
      <alignment horizontal="center"/>
    </xf>
    <xf numFmtId="0" fontId="62" fillId="11" borderId="2" xfId="0" applyFont="1" applyFill="1" applyBorder="1" applyAlignment="1" applyProtection="1">
      <alignment horizontal="center"/>
    </xf>
    <xf numFmtId="0" fontId="62" fillId="11" borderId="3" xfId="0" applyFont="1" applyFill="1" applyBorder="1" applyAlignment="1" applyProtection="1">
      <alignment horizontal="center"/>
    </xf>
    <xf numFmtId="0" fontId="63" fillId="11" borderId="4" xfId="0" applyFont="1" applyFill="1" applyBorder="1" applyAlignment="1" applyProtection="1">
      <alignment horizontal="center"/>
    </xf>
    <xf numFmtId="0" fontId="64" fillId="11" borderId="0" xfId="0" applyFont="1" applyFill="1" applyBorder="1" applyAlignment="1" applyProtection="1">
      <alignment horizontal="center"/>
    </xf>
    <xf numFmtId="0" fontId="64" fillId="11" borderId="5" xfId="0" applyFont="1" applyFill="1" applyBorder="1" applyAlignment="1" applyProtection="1">
      <alignment horizontal="center"/>
    </xf>
    <xf numFmtId="14" fontId="32" fillId="6" borderId="13" xfId="0" applyNumberFormat="1" applyFont="1" applyFill="1" applyBorder="1" applyAlignment="1">
      <alignment horizontal="center" wrapText="1"/>
    </xf>
    <xf numFmtId="0" fontId="32" fillId="6" borderId="27" xfId="0" applyFont="1" applyFill="1" applyBorder="1" applyAlignment="1">
      <alignment horizontal="center" wrapText="1"/>
    </xf>
    <xf numFmtId="0" fontId="0" fillId="2" borderId="6" xfId="0" applyFont="1" applyFill="1" applyBorder="1" applyAlignment="1">
      <alignment horizontal="center" wrapText="1"/>
    </xf>
    <xf numFmtId="0" fontId="0" fillId="2" borderId="31" xfId="0" applyFont="1" applyFill="1" applyBorder="1" applyAlignment="1">
      <alignment horizontal="center" wrapText="1"/>
    </xf>
    <xf numFmtId="3" fontId="8" fillId="2" borderId="7" xfId="0" applyNumberFormat="1" applyFont="1" applyFill="1" applyBorder="1" applyAlignment="1">
      <alignment horizontal="left"/>
    </xf>
    <xf numFmtId="0" fontId="0" fillId="2" borderId="7" xfId="0" applyFill="1" applyBorder="1" applyAlignment="1">
      <alignment horizontal="left"/>
    </xf>
    <xf numFmtId="0" fontId="12" fillId="4" borderId="13" xfId="0" applyFont="1" applyFill="1" applyBorder="1" applyAlignment="1">
      <alignment horizontal="center" wrapText="1"/>
    </xf>
    <xf numFmtId="0" fontId="8" fillId="0" borderId="27" xfId="0" applyFont="1" applyBorder="1" applyAlignment="1">
      <alignment horizontal="center" wrapText="1"/>
    </xf>
    <xf numFmtId="0" fontId="8" fillId="0" borderId="28" xfId="0" applyFont="1" applyBorder="1" applyAlignment="1">
      <alignment horizontal="center" wrapText="1"/>
    </xf>
    <xf numFmtId="0" fontId="12" fillId="4" borderId="27" xfId="0" applyFont="1" applyFill="1" applyBorder="1" applyAlignment="1">
      <alignment horizontal="center" wrapText="1"/>
    </xf>
    <xf numFmtId="0" fontId="12" fillId="4" borderId="28" xfId="0" applyFont="1" applyFill="1" applyBorder="1" applyAlignment="1">
      <alignment horizontal="center" wrapText="1"/>
    </xf>
    <xf numFmtId="0" fontId="8" fillId="2" borderId="2" xfId="0" applyFont="1" applyFill="1" applyBorder="1" applyAlignment="1"/>
    <xf numFmtId="0" fontId="0" fillId="2" borderId="3" xfId="0" applyFill="1" applyBorder="1" applyAlignment="1"/>
    <xf numFmtId="0" fontId="12" fillId="4" borderId="6" xfId="0" applyFont="1" applyFill="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5" fillId="11" borderId="1" xfId="0" applyFont="1" applyFill="1" applyBorder="1" applyAlignment="1">
      <alignment horizontal="center"/>
    </xf>
    <xf numFmtId="0" fontId="5" fillId="11" borderId="2" xfId="0" applyFont="1" applyFill="1" applyBorder="1" applyAlignment="1">
      <alignment horizontal="center"/>
    </xf>
    <xf numFmtId="0" fontId="5" fillId="11" borderId="3" xfId="0" applyFont="1" applyFill="1" applyBorder="1" applyAlignment="1">
      <alignment horizontal="center"/>
    </xf>
    <xf numFmtId="0" fontId="6" fillId="11" borderId="4" xfId="0" applyFont="1" applyFill="1" applyBorder="1" applyAlignment="1">
      <alignment horizontal="center"/>
    </xf>
    <xf numFmtId="0" fontId="7" fillId="11" borderId="0" xfId="0" applyFont="1" applyFill="1" applyBorder="1" applyAlignment="1">
      <alignment horizontal="center"/>
    </xf>
    <xf numFmtId="0" fontId="7" fillId="11" borderId="5" xfId="0" applyFont="1" applyFill="1" applyBorder="1" applyAlignment="1">
      <alignment horizontal="center"/>
    </xf>
    <xf numFmtId="0" fontId="14" fillId="11" borderId="6" xfId="0" applyFont="1" applyFill="1" applyBorder="1" applyAlignment="1">
      <alignment horizontal="center" vertical="center" wrapText="1"/>
    </xf>
    <xf numFmtId="0" fontId="46" fillId="11" borderId="7" xfId="0" applyFont="1" applyFill="1" applyBorder="1" applyAlignment="1">
      <alignment horizontal="center" vertical="center" wrapText="1"/>
    </xf>
    <xf numFmtId="0" fontId="46" fillId="11" borderId="8" xfId="0" applyFont="1" applyFill="1" applyBorder="1" applyAlignment="1">
      <alignment horizontal="center" vertical="center" wrapText="1"/>
    </xf>
    <xf numFmtId="14" fontId="11" fillId="3" borderId="13" xfId="0" applyNumberFormat="1" applyFont="1" applyFill="1" applyBorder="1" applyAlignment="1">
      <alignment horizontal="center" wrapText="1"/>
    </xf>
    <xf numFmtId="14" fontId="11" fillId="3" borderId="14" xfId="0" applyNumberFormat="1" applyFont="1" applyFill="1" applyBorder="1" applyAlignment="1">
      <alignment horizontal="center" wrapText="1"/>
    </xf>
    <xf numFmtId="0" fontId="11" fillId="3" borderId="13" xfId="0" applyFont="1" applyFill="1" applyBorder="1" applyAlignment="1">
      <alignment horizontal="center" wrapText="1"/>
    </xf>
    <xf numFmtId="0" fontId="11" fillId="3" borderId="14" xfId="0" applyFont="1" applyFill="1" applyBorder="1" applyAlignment="1">
      <alignment horizontal="center" wrapText="1"/>
    </xf>
    <xf numFmtId="0" fontId="5" fillId="11" borderId="1" xfId="0" applyFont="1" applyFill="1" applyBorder="1" applyAlignment="1" applyProtection="1">
      <alignment horizontal="center" wrapText="1"/>
    </xf>
    <xf numFmtId="0" fontId="5" fillId="11" borderId="2" xfId="0" applyFont="1" applyFill="1" applyBorder="1" applyAlignment="1" applyProtection="1">
      <alignment horizontal="center" wrapText="1"/>
    </xf>
    <xf numFmtId="0" fontId="0" fillId="11" borderId="3" xfId="0" applyFill="1" applyBorder="1" applyAlignment="1" applyProtection="1">
      <alignment wrapText="1"/>
    </xf>
    <xf numFmtId="0" fontId="6" fillId="11" borderId="4" xfId="0" applyFont="1" applyFill="1" applyBorder="1" applyAlignment="1" applyProtection="1">
      <alignment horizontal="center" wrapText="1"/>
    </xf>
    <xf numFmtId="0" fontId="7" fillId="11" borderId="0" xfId="0" applyFont="1" applyFill="1" applyBorder="1" applyAlignment="1" applyProtection="1">
      <alignment horizontal="center" wrapText="1"/>
    </xf>
    <xf numFmtId="0" fontId="0" fillId="11" borderId="5" xfId="0" applyFill="1" applyBorder="1" applyAlignment="1" applyProtection="1">
      <alignment wrapText="1"/>
    </xf>
    <xf numFmtId="0" fontId="8" fillId="11" borderId="6" xfId="0" applyFont="1" applyFill="1" applyBorder="1" applyAlignment="1" applyProtection="1">
      <alignment horizontal="center" vertical="center" wrapText="1"/>
    </xf>
    <xf numFmtId="0" fontId="0" fillId="11" borderId="7" xfId="0" applyFill="1" applyBorder="1" applyAlignment="1" applyProtection="1">
      <alignment horizontal="center" vertical="center" wrapText="1"/>
    </xf>
    <xf numFmtId="0" fontId="0" fillId="11" borderId="8" xfId="0" applyFill="1" applyBorder="1" applyAlignment="1" applyProtection="1">
      <alignment wrapText="1"/>
    </xf>
    <xf numFmtId="0" fontId="39" fillId="6" borderId="13" xfId="0" applyFont="1" applyFill="1" applyBorder="1" applyAlignment="1" applyProtection="1">
      <alignment horizontal="center" wrapText="1"/>
    </xf>
    <xf numFmtId="0" fontId="40" fillId="6" borderId="27" xfId="0" applyFont="1" applyFill="1" applyBorder="1" applyAlignment="1" applyProtection="1">
      <alignment horizontal="center" wrapText="1"/>
    </xf>
    <xf numFmtId="170" fontId="39" fillId="6" borderId="13" xfId="0" applyNumberFormat="1" applyFont="1" applyFill="1" applyBorder="1" applyAlignment="1" applyProtection="1">
      <alignment horizontal="center" wrapText="1"/>
    </xf>
    <xf numFmtId="0" fontId="40" fillId="6" borderId="17" xfId="0" applyFont="1" applyFill="1" applyBorder="1" applyAlignment="1" applyProtection="1">
      <alignment wrapText="1"/>
    </xf>
    <xf numFmtId="14" fontId="30" fillId="3" borderId="13" xfId="0" applyNumberFormat="1" applyFont="1" applyFill="1" applyBorder="1" applyAlignment="1" applyProtection="1">
      <alignment horizontal="center" wrapText="1"/>
    </xf>
    <xf numFmtId="14" fontId="30" fillId="3" borderId="14" xfId="0" applyNumberFormat="1" applyFont="1" applyFill="1" applyBorder="1" applyAlignment="1" applyProtection="1">
      <alignment horizontal="center" wrapText="1"/>
    </xf>
    <xf numFmtId="0" fontId="30" fillId="3" borderId="4" xfId="0" applyFont="1" applyFill="1" applyBorder="1" applyAlignment="1" applyProtection="1">
      <alignment horizontal="center" wrapText="1"/>
    </xf>
    <xf numFmtId="0" fontId="30" fillId="3" borderId="49" xfId="0" applyFont="1" applyFill="1" applyBorder="1" applyAlignment="1" applyProtection="1">
      <alignment horizontal="center" wrapText="1"/>
    </xf>
    <xf numFmtId="0" fontId="35" fillId="12" borderId="13" xfId="0" applyFont="1" applyFill="1" applyBorder="1" applyAlignment="1" applyProtection="1">
      <alignment horizontal="center" wrapText="1"/>
    </xf>
    <xf numFmtId="0" fontId="42" fillId="2" borderId="28" xfId="0" applyFont="1" applyFill="1" applyBorder="1" applyAlignment="1" applyProtection="1">
      <alignment horizontal="center" wrapText="1"/>
    </xf>
    <xf numFmtId="0" fontId="74" fillId="21" borderId="1" xfId="124" applyFont="1" applyFill="1" applyBorder="1" applyAlignment="1">
      <alignment horizontal="center" vertical="center" wrapText="1"/>
    </xf>
    <xf numFmtId="0" fontId="1" fillId="21" borderId="4" xfId="124" applyFont="1" applyFill="1" applyBorder="1" applyAlignment="1">
      <alignment horizontal="center" vertical="center" wrapText="1"/>
    </xf>
    <xf numFmtId="0" fontId="1" fillId="21" borderId="6" xfId="124" applyFont="1" applyFill="1" applyBorder="1" applyAlignment="1">
      <alignment horizontal="center" vertical="center" wrapText="1"/>
    </xf>
    <xf numFmtId="0" fontId="74" fillId="21" borderId="3" xfId="124" applyFont="1" applyFill="1" applyBorder="1" applyAlignment="1">
      <alignment horizontal="center" vertical="center" wrapText="1"/>
    </xf>
    <xf numFmtId="0" fontId="1" fillId="21" borderId="5" xfId="124" applyFont="1" applyFill="1" applyBorder="1" applyAlignment="1">
      <alignment horizontal="center" vertical="center" wrapText="1"/>
    </xf>
    <xf numFmtId="0" fontId="1" fillId="21" borderId="8" xfId="124" applyFont="1" applyFill="1" applyBorder="1" applyAlignment="1">
      <alignment horizontal="center" vertical="center" wrapText="1"/>
    </xf>
    <xf numFmtId="0" fontId="74" fillId="18" borderId="1" xfId="124" applyFont="1" applyFill="1" applyBorder="1" applyAlignment="1">
      <alignment horizontal="center" vertical="center" wrapText="1"/>
    </xf>
    <xf numFmtId="0" fontId="1" fillId="18" borderId="4" xfId="124" applyFont="1" applyFill="1" applyBorder="1" applyAlignment="1">
      <alignment horizontal="center" vertical="center" wrapText="1"/>
    </xf>
    <xf numFmtId="0" fontId="1" fillId="18" borderId="6" xfId="124" applyFont="1" applyFill="1" applyBorder="1" applyAlignment="1">
      <alignment horizontal="center" vertical="center" wrapText="1"/>
    </xf>
    <xf numFmtId="0" fontId="74" fillId="18" borderId="3" xfId="124" applyFont="1" applyFill="1" applyBorder="1" applyAlignment="1">
      <alignment horizontal="center" vertical="center" wrapText="1"/>
    </xf>
    <xf numFmtId="0" fontId="1" fillId="18" borderId="5" xfId="124" applyFont="1" applyFill="1" applyBorder="1" applyAlignment="1">
      <alignment horizontal="center" vertical="center" wrapText="1"/>
    </xf>
    <xf numFmtId="0" fontId="1" fillId="18" borderId="8" xfId="124" applyFont="1" applyFill="1" applyBorder="1" applyAlignment="1">
      <alignment horizontal="center" vertical="center" wrapText="1"/>
    </xf>
    <xf numFmtId="0" fontId="74" fillId="2" borderId="1" xfId="124" applyFont="1" applyFill="1" applyBorder="1" applyAlignment="1">
      <alignment horizontal="center" vertical="center" wrapText="1"/>
    </xf>
    <xf numFmtId="0" fontId="1" fillId="2" borderId="4" xfId="124" applyFont="1" applyFill="1" applyBorder="1" applyAlignment="1">
      <alignment horizontal="center" vertical="center" wrapText="1"/>
    </xf>
    <xf numFmtId="0" fontId="1" fillId="2" borderId="6" xfId="124" applyFont="1" applyFill="1" applyBorder="1" applyAlignment="1">
      <alignment horizontal="center" vertical="center" wrapText="1"/>
    </xf>
    <xf numFmtId="0" fontId="74" fillId="2" borderId="3" xfId="124" applyFont="1" applyFill="1" applyBorder="1" applyAlignment="1">
      <alignment horizontal="center" vertical="center" wrapText="1"/>
    </xf>
    <xf numFmtId="0" fontId="1" fillId="2" borderId="5" xfId="124" applyFont="1" applyFill="1" applyBorder="1" applyAlignment="1">
      <alignment horizontal="center" vertical="center" wrapText="1"/>
    </xf>
    <xf numFmtId="0" fontId="1" fillId="2" borderId="8" xfId="124" applyFont="1" applyFill="1" applyBorder="1" applyAlignment="1">
      <alignment horizontal="center" vertical="center" wrapText="1"/>
    </xf>
    <xf numFmtId="0" fontId="74" fillId="20" borderId="1" xfId="124" applyFont="1" applyFill="1" applyBorder="1" applyAlignment="1">
      <alignment horizontal="center" vertical="center" wrapText="1"/>
    </xf>
    <xf numFmtId="0" fontId="1" fillId="20" borderId="4" xfId="124" applyFont="1" applyFill="1" applyBorder="1" applyAlignment="1">
      <alignment horizontal="center" vertical="center" wrapText="1"/>
    </xf>
    <xf numFmtId="0" fontId="1" fillId="20" borderId="6" xfId="124" applyFont="1" applyFill="1" applyBorder="1" applyAlignment="1">
      <alignment horizontal="center" vertical="center" wrapText="1"/>
    </xf>
    <xf numFmtId="0" fontId="74" fillId="20" borderId="3" xfId="124" applyFont="1" applyFill="1" applyBorder="1" applyAlignment="1">
      <alignment horizontal="center" vertical="center" wrapText="1"/>
    </xf>
    <xf numFmtId="0" fontId="1" fillId="20" borderId="5" xfId="124" applyFont="1" applyFill="1" applyBorder="1" applyAlignment="1">
      <alignment horizontal="center" vertical="center" wrapText="1"/>
    </xf>
    <xf numFmtId="0" fontId="1" fillId="20" borderId="8" xfId="124" applyFont="1" applyFill="1" applyBorder="1" applyAlignment="1">
      <alignment horizontal="center" vertical="center" wrapText="1"/>
    </xf>
    <xf numFmtId="0" fontId="70" fillId="6" borderId="1" xfId="124" applyFont="1" applyFill="1" applyBorder="1" applyAlignment="1">
      <alignment horizontal="center" vertical="center" wrapText="1"/>
    </xf>
    <xf numFmtId="0" fontId="67" fillId="6" borderId="4" xfId="124" applyFont="1" applyFill="1" applyBorder="1" applyAlignment="1">
      <alignment horizontal="center" vertical="center" wrapText="1"/>
    </xf>
    <xf numFmtId="0" fontId="67" fillId="6" borderId="6" xfId="124" applyFont="1" applyFill="1" applyBorder="1" applyAlignment="1">
      <alignment horizontal="center" vertical="center" wrapText="1"/>
    </xf>
    <xf numFmtId="0" fontId="70" fillId="6" borderId="3" xfId="124" applyFont="1" applyFill="1" applyBorder="1" applyAlignment="1">
      <alignment horizontal="center" vertical="center" wrapText="1"/>
    </xf>
    <xf numFmtId="0" fontId="67" fillId="6" borderId="5" xfId="124" applyFont="1" applyFill="1" applyBorder="1" applyAlignment="1">
      <alignment horizontal="center" vertical="center" wrapText="1"/>
    </xf>
    <xf numFmtId="0" fontId="67" fillId="6" borderId="8" xfId="124" applyFont="1" applyFill="1" applyBorder="1" applyAlignment="1">
      <alignment horizontal="center" vertical="center" wrapText="1"/>
    </xf>
    <xf numFmtId="0" fontId="71" fillId="6" borderId="0" xfId="124" applyFont="1" applyFill="1" applyBorder="1" applyAlignment="1">
      <alignment horizontal="center" wrapText="1"/>
    </xf>
    <xf numFmtId="0" fontId="31" fillId="6" borderId="0" xfId="0" applyFont="1" applyFill="1" applyBorder="1" applyAlignment="1">
      <alignment horizontal="center" wrapText="1"/>
    </xf>
    <xf numFmtId="0" fontId="73" fillId="6" borderId="0" xfId="124" applyFont="1" applyFill="1" applyBorder="1" applyAlignment="1">
      <alignment horizontal="center" wrapText="1"/>
    </xf>
    <xf numFmtId="177" fontId="34" fillId="5" borderId="0" xfId="124" applyNumberFormat="1" applyFont="1" applyFill="1" applyBorder="1" applyAlignment="1" applyProtection="1">
      <alignment horizontal="center" wrapText="1"/>
    </xf>
    <xf numFmtId="177" fontId="42" fillId="5" borderId="0" xfId="0" applyNumberFormat="1" applyFont="1" applyFill="1" applyBorder="1" applyAlignment="1" applyProtection="1">
      <alignment horizontal="center" wrapText="1"/>
    </xf>
    <xf numFmtId="0" fontId="68" fillId="6" borderId="1" xfId="8" applyFont="1" applyFill="1" applyBorder="1" applyAlignment="1">
      <alignment horizontal="center" vertical="center" wrapText="1"/>
    </xf>
    <xf numFmtId="0" fontId="68" fillId="6" borderId="2" xfId="0" applyFont="1" applyFill="1" applyBorder="1" applyAlignment="1">
      <alignment horizontal="center" vertical="center" wrapText="1"/>
    </xf>
    <xf numFmtId="0" fontId="68" fillId="6" borderId="3" xfId="0" applyFont="1" applyFill="1" applyBorder="1" applyAlignment="1">
      <alignment horizontal="center" vertical="center" wrapText="1"/>
    </xf>
    <xf numFmtId="0" fontId="68" fillId="6" borderId="6" xfId="0" applyFont="1" applyFill="1" applyBorder="1" applyAlignment="1">
      <alignment horizontal="center" vertical="center" wrapText="1"/>
    </xf>
    <xf numFmtId="0" fontId="68" fillId="6" borderId="7" xfId="0" applyFont="1" applyFill="1" applyBorder="1" applyAlignment="1">
      <alignment horizontal="center" vertical="center" wrapText="1"/>
    </xf>
    <xf numFmtId="0" fontId="68" fillId="6" borderId="8" xfId="0" applyFont="1" applyFill="1" applyBorder="1" applyAlignment="1">
      <alignment horizontal="center" vertical="center" wrapText="1"/>
    </xf>
    <xf numFmtId="0" fontId="75" fillId="6" borderId="73" xfId="0" applyFont="1" applyFill="1" applyBorder="1" applyAlignment="1">
      <alignment horizontal="center" vertical="center" wrapText="1"/>
    </xf>
    <xf numFmtId="0" fontId="75" fillId="6" borderId="74" xfId="0" applyFont="1" applyFill="1" applyBorder="1" applyAlignment="1">
      <alignment horizontal="center" vertical="center" wrapText="1"/>
    </xf>
    <xf numFmtId="0" fontId="75" fillId="6" borderId="75" xfId="0" applyFont="1" applyFill="1" applyBorder="1" applyAlignment="1">
      <alignment horizontal="center" vertical="center" wrapText="1"/>
    </xf>
    <xf numFmtId="0" fontId="61" fillId="0" borderId="0" xfId="0" applyFont="1" applyAlignment="1">
      <alignment horizontal="center" vertical="center" wrapText="1"/>
    </xf>
    <xf numFmtId="0" fontId="74" fillId="18" borderId="4" xfId="124" applyFont="1" applyFill="1" applyBorder="1" applyAlignment="1">
      <alignment horizontal="center" vertical="center" wrapText="1"/>
    </xf>
    <xf numFmtId="0" fontId="74" fillId="18" borderId="5" xfId="124" applyFont="1" applyFill="1" applyBorder="1" applyAlignment="1">
      <alignment horizontal="center" vertical="center" wrapText="1"/>
    </xf>
    <xf numFmtId="0" fontId="69" fillId="7" borderId="5" xfId="0" applyFont="1" applyFill="1" applyBorder="1" applyAlignment="1">
      <alignment horizontal="center" vertical="center" wrapText="1"/>
    </xf>
    <xf numFmtId="0" fontId="60" fillId="2" borderId="73" xfId="0" applyFont="1" applyFill="1" applyBorder="1" applyAlignment="1">
      <alignment horizontal="center" vertical="center" wrapText="1"/>
    </xf>
    <xf numFmtId="0" fontId="60" fillId="2" borderId="74" xfId="0" applyFont="1" applyFill="1" applyBorder="1" applyAlignment="1">
      <alignment horizontal="center" vertical="center" wrapText="1"/>
    </xf>
    <xf numFmtId="0" fontId="60" fillId="2" borderId="75" xfId="0" applyFont="1" applyFill="1" applyBorder="1" applyAlignment="1">
      <alignment horizontal="center" vertical="center" wrapText="1"/>
    </xf>
    <xf numFmtId="0" fontId="60" fillId="20" borderId="73" xfId="0" applyFont="1" applyFill="1" applyBorder="1" applyAlignment="1">
      <alignment horizontal="center" vertical="center" wrapText="1"/>
    </xf>
    <xf numFmtId="0" fontId="60" fillId="20" borderId="74" xfId="0" applyFont="1" applyFill="1" applyBorder="1" applyAlignment="1">
      <alignment horizontal="center" vertical="center" wrapText="1"/>
    </xf>
    <xf numFmtId="0" fontId="60" fillId="20" borderId="75" xfId="0" applyFont="1" applyFill="1" applyBorder="1" applyAlignment="1">
      <alignment horizontal="center" vertical="center" wrapText="1"/>
    </xf>
    <xf numFmtId="0" fontId="60" fillId="18" borderId="72" xfId="0" applyFont="1" applyFill="1" applyBorder="1" applyAlignment="1">
      <alignment horizontal="center" vertical="center" wrapText="1"/>
    </xf>
    <xf numFmtId="0" fontId="76" fillId="21" borderId="73" xfId="0" applyFont="1" applyFill="1" applyBorder="1" applyAlignment="1">
      <alignment horizontal="center" vertical="center" wrapText="1"/>
    </xf>
    <xf numFmtId="0" fontId="76" fillId="21" borderId="74" xfId="0" applyFont="1" applyFill="1" applyBorder="1" applyAlignment="1">
      <alignment horizontal="center" vertical="center" wrapText="1"/>
    </xf>
    <xf numFmtId="0" fontId="76" fillId="21" borderId="75" xfId="0" applyFont="1" applyFill="1" applyBorder="1" applyAlignment="1">
      <alignment horizontal="center" vertical="center" wrapText="1"/>
    </xf>
    <xf numFmtId="0" fontId="63" fillId="7" borderId="5" xfId="0" applyFont="1" applyFill="1" applyBorder="1" applyAlignment="1">
      <alignment horizontal="center" vertical="center" wrapText="1"/>
    </xf>
    <xf numFmtId="0" fontId="58" fillId="7" borderId="51" xfId="0" applyFont="1" applyFill="1" applyBorder="1" applyAlignment="1">
      <alignment horizontal="center" vertical="center" wrapText="1"/>
    </xf>
    <xf numFmtId="0" fontId="58" fillId="7" borderId="5" xfId="0" applyFont="1" applyFill="1" applyBorder="1" applyAlignment="1">
      <alignment horizontal="center" vertical="center" wrapText="1"/>
    </xf>
    <xf numFmtId="0" fontId="53" fillId="6" borderId="0" xfId="8" applyFont="1" applyFill="1" applyAlignment="1">
      <alignment horizontal="center" vertical="center" wrapText="1"/>
    </xf>
    <xf numFmtId="0" fontId="53" fillId="6" borderId="7" xfId="8" applyFont="1" applyFill="1" applyBorder="1" applyAlignment="1">
      <alignment horizontal="center" vertical="center" wrapText="1"/>
    </xf>
    <xf numFmtId="0" fontId="85" fillId="6" borderId="1" xfId="124" applyFont="1" applyFill="1" applyBorder="1" applyAlignment="1">
      <alignment horizontal="center" vertical="center" wrapText="1"/>
    </xf>
    <xf numFmtId="0" fontId="86" fillId="6" borderId="4" xfId="124" applyFont="1" applyFill="1" applyBorder="1" applyAlignment="1">
      <alignment horizontal="center" vertical="center" wrapText="1"/>
    </xf>
    <xf numFmtId="0" fontId="86" fillId="6" borderId="6" xfId="124" applyFont="1" applyFill="1" applyBorder="1" applyAlignment="1">
      <alignment horizontal="center" vertical="center" wrapText="1"/>
    </xf>
    <xf numFmtId="0" fontId="85" fillId="6" borderId="3" xfId="124" applyFont="1" applyFill="1" applyBorder="1" applyAlignment="1">
      <alignment horizontal="center" vertical="center" wrapText="1"/>
    </xf>
    <xf numFmtId="0" fontId="86" fillId="6" borderId="5" xfId="124" applyFont="1" applyFill="1" applyBorder="1" applyAlignment="1">
      <alignment horizontal="center" vertical="center" wrapText="1"/>
    </xf>
    <xf numFmtId="0" fontId="86" fillId="6" borderId="8" xfId="124" applyFont="1" applyFill="1" applyBorder="1" applyAlignment="1">
      <alignment horizontal="center" vertical="center" wrapText="1"/>
    </xf>
    <xf numFmtId="177" fontId="48" fillId="22" borderId="6" xfId="8" applyNumberFormat="1" applyFont="1" applyFill="1" applyBorder="1" applyAlignment="1">
      <alignment horizontal="center" wrapText="1"/>
    </xf>
    <xf numFmtId="0" fontId="48" fillId="0" borderId="8" xfId="8" applyFont="1" applyBorder="1" applyAlignment="1">
      <alignment horizontal="center" wrapText="1"/>
    </xf>
    <xf numFmtId="0" fontId="30" fillId="26" borderId="1" xfId="8" applyFont="1" applyFill="1" applyBorder="1" applyAlignment="1">
      <alignment horizontal="left" wrapText="1"/>
    </xf>
    <xf numFmtId="0" fontId="30" fillId="26" borderId="3" xfId="0" applyFont="1" applyFill="1" applyBorder="1" applyAlignment="1">
      <alignment horizontal="left" wrapText="1"/>
    </xf>
    <xf numFmtId="0" fontId="30" fillId="26" borderId="6" xfId="8" applyFont="1" applyFill="1" applyBorder="1" applyAlignment="1">
      <alignment horizontal="left" vertical="center" wrapText="1"/>
    </xf>
    <xf numFmtId="0" fontId="48" fillId="26" borderId="8" xfId="0" applyFont="1" applyFill="1" applyBorder="1" applyAlignment="1">
      <alignment horizontal="left" vertical="center" wrapText="1"/>
    </xf>
    <xf numFmtId="0" fontId="82" fillId="14" borderId="1" xfId="8" applyFont="1" applyFill="1" applyBorder="1"/>
    <xf numFmtId="0" fontId="83" fillId="14" borderId="3" xfId="8" applyFont="1" applyFill="1" applyBorder="1"/>
    <xf numFmtId="0" fontId="82" fillId="14" borderId="4" xfId="8" applyFont="1" applyFill="1" applyBorder="1"/>
    <xf numFmtId="0" fontId="82" fillId="14" borderId="5" xfId="8" applyFont="1" applyFill="1" applyBorder="1"/>
    <xf numFmtId="0" fontId="82" fillId="14" borderId="6" xfId="8" applyFont="1" applyFill="1" applyBorder="1"/>
    <xf numFmtId="0" fontId="82" fillId="14" borderId="8" xfId="8" applyFont="1" applyFill="1" applyBorder="1"/>
    <xf numFmtId="49" fontId="48" fillId="22" borderId="1" xfId="8" applyNumberFormat="1" applyFont="1" applyFill="1" applyBorder="1" applyAlignment="1">
      <alignment horizontal="center" wrapText="1"/>
    </xf>
    <xf numFmtId="0" fontId="48" fillId="0" borderId="3" xfId="8" applyFont="1" applyBorder="1" applyAlignment="1">
      <alignment horizontal="center" wrapText="1"/>
    </xf>
    <xf numFmtId="1" fontId="48" fillId="22" borderId="4" xfId="8" applyNumberFormat="1" applyFont="1" applyFill="1" applyBorder="1" applyAlignment="1">
      <alignment horizontal="center" wrapText="1"/>
    </xf>
    <xf numFmtId="1" fontId="48" fillId="0" borderId="5" xfId="8" applyNumberFormat="1" applyFont="1" applyBorder="1" applyAlignment="1">
      <alignment horizontal="center" wrapText="1"/>
    </xf>
    <xf numFmtId="0" fontId="48" fillId="22" borderId="4" xfId="8" applyFont="1" applyFill="1" applyBorder="1" applyAlignment="1">
      <alignment horizontal="center" wrapText="1"/>
    </xf>
    <xf numFmtId="0" fontId="48" fillId="0" borderId="5" xfId="8" applyFont="1" applyBorder="1" applyAlignment="1">
      <alignment horizontal="center" wrapText="1"/>
    </xf>
    <xf numFmtId="0" fontId="54" fillId="17" borderId="6" xfId="8" applyFont="1" applyFill="1" applyBorder="1" applyAlignment="1">
      <alignment wrapText="1"/>
    </xf>
    <xf numFmtId="0" fontId="0" fillId="0" borderId="8" xfId="0" applyBorder="1" applyAlignment="1">
      <alignment wrapText="1"/>
    </xf>
    <xf numFmtId="0" fontId="30" fillId="6" borderId="13" xfId="8" applyFont="1" applyFill="1" applyBorder="1" applyAlignment="1">
      <alignment wrapText="1"/>
    </xf>
    <xf numFmtId="0" fontId="31" fillId="0" borderId="28" xfId="0" applyFont="1" applyBorder="1" applyAlignment="1">
      <alignment wrapText="1"/>
    </xf>
    <xf numFmtId="177" fontId="48" fillId="14" borderId="6" xfId="8" applyNumberFormat="1" applyFont="1" applyFill="1" applyBorder="1" applyAlignment="1">
      <alignment horizontal="center" wrapText="1"/>
    </xf>
    <xf numFmtId="0" fontId="48" fillId="0" borderId="8" xfId="8" applyFont="1" applyBorder="1" applyAlignment="1">
      <alignment wrapText="1"/>
    </xf>
    <xf numFmtId="0" fontId="48" fillId="11" borderId="4" xfId="8" applyFont="1" applyFill="1" applyBorder="1" applyAlignment="1">
      <alignment horizontal="right" wrapText="1"/>
    </xf>
    <xf numFmtId="0" fontId="48" fillId="11" borderId="0" xfId="8" applyFont="1" applyFill="1" applyAlignment="1">
      <alignment horizontal="right" wrapText="1"/>
    </xf>
    <xf numFmtId="0" fontId="63" fillId="14" borderId="1" xfId="8" applyFont="1" applyFill="1" applyBorder="1"/>
    <xf numFmtId="0" fontId="64" fillId="14" borderId="3" xfId="8" applyFont="1" applyFill="1" applyBorder="1"/>
    <xf numFmtId="0" fontId="63" fillId="14" borderId="4" xfId="8" applyFont="1" applyFill="1" applyBorder="1"/>
    <xf numFmtId="0" fontId="64" fillId="14" borderId="5" xfId="8" applyFont="1" applyFill="1" applyBorder="1"/>
    <xf numFmtId="0" fontId="63" fillId="14" borderId="6" xfId="8" applyFont="1" applyFill="1" applyBorder="1"/>
    <xf numFmtId="0" fontId="64" fillId="14" borderId="8" xfId="8" applyFont="1" applyFill="1" applyBorder="1"/>
    <xf numFmtId="49" fontId="48" fillId="14" borderId="1" xfId="8" applyNumberFormat="1" applyFont="1" applyFill="1" applyBorder="1" applyAlignment="1">
      <alignment horizontal="center" wrapText="1"/>
    </xf>
    <xf numFmtId="1" fontId="48" fillId="14" borderId="4" xfId="8" applyNumberFormat="1" applyFont="1" applyFill="1" applyBorder="1" applyAlignment="1">
      <alignment horizontal="center" wrapText="1"/>
    </xf>
    <xf numFmtId="0" fontId="48" fillId="14" borderId="4" xfId="8" applyFont="1" applyFill="1" applyBorder="1" applyAlignment="1">
      <alignment horizontal="center" wrapText="1"/>
    </xf>
    <xf numFmtId="177" fontId="48" fillId="0" borderId="8" xfId="0" applyNumberFormat="1" applyFont="1" applyBorder="1" applyAlignment="1">
      <alignment horizontal="center" wrapText="1"/>
    </xf>
    <xf numFmtId="0" fontId="8" fillId="14" borderId="1" xfId="8" applyFont="1" applyFill="1" applyBorder="1"/>
    <xf numFmtId="0" fontId="4" fillId="14" borderId="3" xfId="8" applyFill="1" applyBorder="1"/>
    <xf numFmtId="0" fontId="8" fillId="14" borderId="4" xfId="8" applyFont="1" applyFill="1" applyBorder="1"/>
    <xf numFmtId="0" fontId="4" fillId="14" borderId="5" xfId="8" applyFill="1" applyBorder="1"/>
    <xf numFmtId="0" fontId="8" fillId="14" borderId="6" xfId="8" applyFont="1" applyFill="1" applyBorder="1"/>
    <xf numFmtId="0" fontId="4" fillId="14" borderId="8" xfId="8" applyFill="1" applyBorder="1"/>
    <xf numFmtId="0" fontId="48" fillId="0" borderId="3" xfId="0" applyFont="1" applyBorder="1" applyAlignment="1">
      <alignment horizontal="center" wrapText="1"/>
    </xf>
    <xf numFmtId="0" fontId="48" fillId="0" borderId="5" xfId="0" applyFont="1" applyBorder="1" applyAlignment="1">
      <alignment horizontal="center" wrapText="1"/>
    </xf>
    <xf numFmtId="3" fontId="48" fillId="22" borderId="4" xfId="8" applyNumberFormat="1" applyFont="1" applyFill="1" applyBorder="1" applyAlignment="1">
      <alignment horizontal="center" wrapText="1"/>
    </xf>
    <xf numFmtId="177" fontId="4" fillId="22" borderId="6" xfId="8" applyNumberFormat="1" applyFill="1" applyBorder="1" applyAlignment="1">
      <alignment horizontal="center" wrapText="1"/>
    </xf>
    <xf numFmtId="177" fontId="0" fillId="0" borderId="8" xfId="0" applyNumberFormat="1" applyBorder="1" applyAlignment="1">
      <alignment horizontal="center" wrapText="1"/>
    </xf>
    <xf numFmtId="49" fontId="4" fillId="22" borderId="1" xfId="8" applyNumberFormat="1" applyFill="1" applyBorder="1" applyAlignment="1">
      <alignment horizontal="center" wrapText="1"/>
    </xf>
    <xf numFmtId="0" fontId="0" fillId="0" borderId="3" xfId="0" applyBorder="1" applyAlignment="1">
      <alignment horizontal="center" wrapText="1"/>
    </xf>
    <xf numFmtId="3" fontId="4" fillId="22" borderId="4" xfId="8" applyNumberFormat="1" applyFill="1" applyBorder="1" applyAlignment="1">
      <alignment horizontal="center" wrapText="1"/>
    </xf>
    <xf numFmtId="0" fontId="0" fillId="0" borderId="5" xfId="0" applyBorder="1" applyAlignment="1">
      <alignment horizontal="center" wrapText="1"/>
    </xf>
    <xf numFmtId="0" fontId="4" fillId="22" borderId="4" xfId="8" applyFill="1" applyBorder="1" applyAlignment="1">
      <alignment horizontal="center" wrapText="1"/>
    </xf>
    <xf numFmtId="0" fontId="48" fillId="22" borderId="6" xfId="8" applyFont="1" applyFill="1" applyBorder="1" applyAlignment="1">
      <alignment horizontal="center" wrapText="1"/>
    </xf>
    <xf numFmtId="0" fontId="48" fillId="0" borderId="8" xfId="0" applyFont="1" applyBorder="1" applyAlignment="1">
      <alignment horizontal="center" wrapText="1"/>
    </xf>
    <xf numFmtId="0" fontId="48" fillId="0" borderId="3" xfId="0" applyNumberFormat="1" applyFont="1" applyBorder="1" applyAlignment="1">
      <alignment horizontal="center" wrapText="1"/>
    </xf>
    <xf numFmtId="0" fontId="48" fillId="24" borderId="5" xfId="8" applyFont="1" applyFill="1" applyBorder="1" applyAlignment="1">
      <alignment horizontal="right"/>
    </xf>
  </cellXfs>
  <cellStyles count="129">
    <cellStyle name="48_description" xfId="1" xr:uid="{00000000-0005-0000-0000-000000000000}"/>
    <cellStyle name="Commentaire" xfId="2" xr:uid="{00000000-0005-0000-0000-000001000000}"/>
    <cellStyle name="Euro" xfId="3" xr:uid="{00000000-0005-0000-0000-000002000000}"/>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8" builtinId="8"/>
    <cellStyle name="Lien hypertexte 2" xfId="4" xr:uid="{00000000-0005-0000-0000-000037000000}"/>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Milliers 2" xfId="126" xr:uid="{8D91136E-4B33-4A4C-BB2C-10F0B670FAAA}"/>
    <cellStyle name="Monétaire 2" xfId="5" xr:uid="{00000000-0005-0000-0000-00006C000000}"/>
    <cellStyle name="Monétaire 2 2" xfId="6" xr:uid="{00000000-0005-0000-0000-00006D000000}"/>
    <cellStyle name="Monétaire 3" xfId="7" xr:uid="{00000000-0005-0000-0000-00006E000000}"/>
    <cellStyle name="Monétaire 4" xfId="125" xr:uid="{E29E9019-8D11-0B42-9CB5-FAA747E9F9AE}"/>
    <cellStyle name="Monétaire 5" xfId="127" xr:uid="{1144CE5E-18D9-3147-B244-57F5D2A6C3CD}"/>
    <cellStyle name="Normal" xfId="0" builtinId="0"/>
    <cellStyle name="Normal 2" xfId="8" xr:uid="{00000000-0005-0000-0000-000070000000}"/>
    <cellStyle name="Normal 2 2" xfId="9" xr:uid="{00000000-0005-0000-0000-000071000000}"/>
    <cellStyle name="Normal 2 2 2" xfId="10" xr:uid="{00000000-0005-0000-0000-000072000000}"/>
    <cellStyle name="Normal 3" xfId="63" xr:uid="{00000000-0005-0000-0000-000073000000}"/>
    <cellStyle name="Normal 3 2" xfId="124" xr:uid="{0F8C8EB4-F44F-C24C-A973-0CB1B3B52679}"/>
    <cellStyle name="Pourcentage 2" xfId="11" xr:uid="{00000000-0005-0000-0000-000074000000}"/>
    <cellStyle name="Satisfaisant" xfId="12" xr:uid="{00000000-0005-0000-0000-000075000000}"/>
    <cellStyle name="Titre" xfId="13" xr:uid="{00000000-0005-0000-0000-000076000000}"/>
    <cellStyle name="Titre 1" xfId="14" xr:uid="{00000000-0005-0000-0000-000077000000}"/>
    <cellStyle name="Titre 2" xfId="15" xr:uid="{00000000-0005-0000-0000-000078000000}"/>
    <cellStyle name="Titre 3" xfId="16" xr:uid="{00000000-0005-0000-0000-000079000000}"/>
    <cellStyle name="Titre 4" xfId="17" xr:uid="{00000000-0005-0000-0000-00007A000000}"/>
    <cellStyle name="Vérification" xfId="18" xr:uid="{00000000-0005-0000-0000-00007B000000}"/>
  </cellStyles>
  <dxfs count="0"/>
  <tableStyles count="0" defaultTableStyle="TableStyleMedium9" defaultPivotStyle="PivotStyleMedium4"/>
  <colors>
    <mruColors>
      <color rgb="FF000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ian/Downloads/gl_8100-8199_frais_financier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is financier"/>
    </sheetNames>
    <sheetDataSet>
      <sheetData sheetId="0"/>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hrimag.com/Cout-direct-d-exploitation-GL-7400-7499"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hrimag.com/Musique-Divertissement-GL-7500-7599"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hrimag.com/Marketing-Communication-marketing-GL-7600-7699"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hrimag.com/Services-publics-GL-7700-7799"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hrimag.com/Entretien-Reparations-GL-7900-7999" TargetMode="External"/></Relationships>
</file>

<file path=xl/worksheets/_rels/sheet16.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5.xml.rels><?xml version="1.0" encoding="UTF-8" standalone="yes"?>
<Relationships xmlns="http://schemas.openxmlformats.org/package/2006/relationships"><Relationship Id="rId8" Type="http://schemas.openxmlformats.org/officeDocument/2006/relationships/hyperlink" Target="https://www.hrimag.com/La-budgetisation-de-vos-frais-financiers-GL-8100-8199" TargetMode="External"/><Relationship Id="rId3" Type="http://schemas.openxmlformats.org/officeDocument/2006/relationships/hyperlink" Target="https://www.hrimag.com/Musique-Divertissement-GL-7500-7599" TargetMode="External"/><Relationship Id="rId7" Type="http://schemas.openxmlformats.org/officeDocument/2006/relationships/hyperlink" Target="https://www.hrimag.com/Entretien-Reparations-GL-7900-7999" TargetMode="External"/><Relationship Id="rId2" Type="http://schemas.openxmlformats.org/officeDocument/2006/relationships/hyperlink" Target="https://www.hrimag.com/Cout-direct-d-exploitation-GL-7400-7499" TargetMode="External"/><Relationship Id="rId1" Type="http://schemas.openxmlformats.org/officeDocument/2006/relationships/hyperlink" Target="https://www.hrimag.com/Cout-d-occupation-GL-7300-7399" TargetMode="External"/><Relationship Id="rId6" Type="http://schemas.openxmlformats.org/officeDocument/2006/relationships/hyperlink" Target="https://www.hrimag.com/Administration-Frais-generaux-GL-7800-7899" TargetMode="External"/><Relationship Id="rId5" Type="http://schemas.openxmlformats.org/officeDocument/2006/relationships/hyperlink" Target="https://www.hrimag.com/Services-publics-GL-7700-7799" TargetMode="External"/><Relationship Id="rId4" Type="http://schemas.openxmlformats.org/officeDocument/2006/relationships/hyperlink" Target="https://www.hrimag.com/Marketing-Communication-marketing-GL-7600-7699" TargetMode="External"/><Relationship Id="rId9" Type="http://schemas.openxmlformats.org/officeDocument/2006/relationships/hyperlink" Target="https://www.hrimag.com/La-budgetisation-de-vos-couts-d-amortissement-GL-8500-8599"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hrimag.com/Cout-d-occupation-GL-7300-73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1"/>
  </sheetPr>
  <dimension ref="B1:P54"/>
  <sheetViews>
    <sheetView zoomScale="125" workbookViewId="0">
      <pane xSplit="3" ySplit="8" topLeftCell="D9" activePane="bottomRight" state="frozen"/>
      <selection pane="topRight" activeCell="D1" sqref="D1"/>
      <selection pane="bottomLeft" activeCell="A9" sqref="A9"/>
      <selection pane="bottomRight"/>
    </sheetView>
  </sheetViews>
  <sheetFormatPr baseColWidth="10" defaultRowHeight="13" x14ac:dyDescent="0.15"/>
  <cols>
    <col min="1" max="1" width="1.5" customWidth="1"/>
    <col min="2" max="2" width="2.5" customWidth="1"/>
    <col min="4" max="4" width="15.1640625" bestFit="1" customWidth="1"/>
    <col min="5" max="5" width="11" customWidth="1"/>
    <col min="6" max="6" width="15.1640625" bestFit="1" customWidth="1"/>
    <col min="7" max="7" width="14.1640625" customWidth="1"/>
    <col min="8" max="8" width="14" customWidth="1"/>
    <col min="9" max="9" width="14" bestFit="1" customWidth="1"/>
    <col min="10" max="10" width="13.83203125" bestFit="1" customWidth="1"/>
    <col min="11" max="11" width="15" bestFit="1" customWidth="1"/>
    <col min="12" max="12" width="15.5" customWidth="1"/>
    <col min="13" max="13" width="14.33203125" customWidth="1"/>
    <col min="14" max="15" width="14.6640625" customWidth="1"/>
    <col min="16" max="16" width="11.6640625" bestFit="1" customWidth="1"/>
    <col min="21" max="22" width="12.33203125" bestFit="1" customWidth="1"/>
  </cols>
  <sheetData>
    <row r="1" spans="2:16" ht="14" thickBot="1" x14ac:dyDescent="0.2"/>
    <row r="2" spans="2:16" ht="19" thickTop="1" x14ac:dyDescent="0.2">
      <c r="B2" s="781" t="str">
        <f>'État des Résultats'!C2</f>
        <v xml:space="preserve">Entreprise de restauration alimentaire 12 inc. </v>
      </c>
      <c r="C2" s="782"/>
      <c r="D2" s="782"/>
      <c r="E2" s="782"/>
      <c r="F2" s="782"/>
      <c r="G2" s="782"/>
      <c r="H2" s="782"/>
      <c r="I2" s="782"/>
      <c r="J2" s="782"/>
      <c r="K2" s="782"/>
      <c r="L2" s="782"/>
      <c r="M2" s="782"/>
      <c r="N2" s="782"/>
      <c r="O2" s="783"/>
    </row>
    <row r="3" spans="2:16" ht="16" x14ac:dyDescent="0.2">
      <c r="B3" s="784" t="str">
        <f>'État des Résultats'!C3</f>
        <v xml:space="preserve">États des résultats prévisionnels </v>
      </c>
      <c r="C3" s="785"/>
      <c r="D3" s="785"/>
      <c r="E3" s="785"/>
      <c r="F3" s="785"/>
      <c r="G3" s="785"/>
      <c r="H3" s="785"/>
      <c r="I3" s="785"/>
      <c r="J3" s="785"/>
      <c r="K3" s="785"/>
      <c r="L3" s="785"/>
      <c r="M3" s="785"/>
      <c r="N3" s="785"/>
      <c r="O3" s="786"/>
    </row>
    <row r="4" spans="2:16" ht="17" thickBot="1" x14ac:dyDescent="0.25">
      <c r="B4" s="784" t="str">
        <f>'État des Résultats'!C4</f>
        <v>Pour la période du 1er janvier 2021 au 31 décembre 2021</v>
      </c>
      <c r="C4" s="785"/>
      <c r="D4" s="785"/>
      <c r="E4" s="785"/>
      <c r="F4" s="785"/>
      <c r="G4" s="785"/>
      <c r="H4" s="785"/>
      <c r="I4" s="785"/>
      <c r="J4" s="785"/>
      <c r="K4" s="785"/>
      <c r="L4" s="785"/>
      <c r="M4" s="785"/>
      <c r="N4" s="785"/>
      <c r="O4" s="786"/>
    </row>
    <row r="5" spans="2:16" ht="14" thickTop="1" x14ac:dyDescent="0.15">
      <c r="B5" s="1"/>
      <c r="C5" s="2"/>
      <c r="D5" s="3" t="s">
        <v>31</v>
      </c>
      <c r="E5" s="3" t="s">
        <v>32</v>
      </c>
      <c r="F5" s="3" t="s">
        <v>33</v>
      </c>
      <c r="G5" s="3" t="s">
        <v>25</v>
      </c>
      <c r="H5" s="3" t="s">
        <v>34</v>
      </c>
      <c r="I5" s="3" t="s">
        <v>35</v>
      </c>
      <c r="J5" s="3" t="s">
        <v>36</v>
      </c>
      <c r="K5" s="3" t="s">
        <v>37</v>
      </c>
      <c r="L5" s="3" t="s">
        <v>38</v>
      </c>
      <c r="M5" s="3" t="s">
        <v>39</v>
      </c>
      <c r="N5" s="3" t="s">
        <v>40</v>
      </c>
      <c r="O5" s="4" t="s">
        <v>41</v>
      </c>
    </row>
    <row r="6" spans="2:16" ht="14" thickBot="1" x14ac:dyDescent="0.2">
      <c r="B6" s="5"/>
      <c r="C6" s="6"/>
      <c r="D6" s="289" t="s">
        <v>55</v>
      </c>
      <c r="E6" s="289" t="s">
        <v>56</v>
      </c>
      <c r="F6" s="289" t="s">
        <v>57</v>
      </c>
      <c r="G6" s="289" t="s">
        <v>58</v>
      </c>
      <c r="H6" s="289" t="s">
        <v>59</v>
      </c>
      <c r="I6" s="289" t="s">
        <v>60</v>
      </c>
      <c r="J6" s="289" t="s">
        <v>61</v>
      </c>
      <c r="K6" s="289" t="s">
        <v>62</v>
      </c>
      <c r="L6" s="289" t="s">
        <v>63</v>
      </c>
      <c r="M6" s="289" t="s">
        <v>64</v>
      </c>
      <c r="N6" s="289" t="s">
        <v>65</v>
      </c>
      <c r="O6" s="290" t="s">
        <v>66</v>
      </c>
    </row>
    <row r="7" spans="2:16" ht="15" thickTop="1" thickBot="1" x14ac:dyDescent="0.2">
      <c r="B7" s="787" t="s">
        <v>26</v>
      </c>
      <c r="C7" s="788"/>
      <c r="D7" s="73">
        <v>50</v>
      </c>
      <c r="E7" s="74">
        <f t="shared" ref="E7:O7" si="0">+D7</f>
        <v>50</v>
      </c>
      <c r="F7" s="75">
        <f t="shared" si="0"/>
        <v>50</v>
      </c>
      <c r="G7" s="75">
        <f t="shared" si="0"/>
        <v>50</v>
      </c>
      <c r="H7" s="75">
        <f t="shared" si="0"/>
        <v>50</v>
      </c>
      <c r="I7" s="75">
        <f t="shared" si="0"/>
        <v>50</v>
      </c>
      <c r="J7" s="75">
        <f t="shared" si="0"/>
        <v>50</v>
      </c>
      <c r="K7" s="75">
        <f t="shared" si="0"/>
        <v>50</v>
      </c>
      <c r="L7" s="75">
        <f t="shared" si="0"/>
        <v>50</v>
      </c>
      <c r="M7" s="75">
        <f t="shared" si="0"/>
        <v>50</v>
      </c>
      <c r="N7" s="75">
        <f t="shared" si="0"/>
        <v>50</v>
      </c>
      <c r="O7" s="76">
        <f t="shared" si="0"/>
        <v>50</v>
      </c>
    </row>
    <row r="8" spans="2:16" ht="15" thickTop="1" thickBot="1" x14ac:dyDescent="0.2">
      <c r="B8" s="789" t="s">
        <v>27</v>
      </c>
      <c r="C8" s="790"/>
      <c r="D8" s="71">
        <v>31</v>
      </c>
      <c r="E8" s="71">
        <v>28</v>
      </c>
      <c r="F8" s="71">
        <v>31</v>
      </c>
      <c r="G8" s="71">
        <v>30</v>
      </c>
      <c r="H8" s="71">
        <v>31</v>
      </c>
      <c r="I8" s="71">
        <v>30</v>
      </c>
      <c r="J8" s="71">
        <v>31</v>
      </c>
      <c r="K8" s="71">
        <v>31</v>
      </c>
      <c r="L8" s="71">
        <v>30</v>
      </c>
      <c r="M8" s="71">
        <v>31</v>
      </c>
      <c r="N8" s="71">
        <v>30</v>
      </c>
      <c r="O8" s="72">
        <v>31</v>
      </c>
      <c r="P8" s="39" t="s">
        <v>2</v>
      </c>
    </row>
    <row r="9" spans="2:16" ht="14" thickTop="1" x14ac:dyDescent="0.15">
      <c r="B9" s="40">
        <v>1</v>
      </c>
      <c r="C9" s="41" t="s">
        <v>1</v>
      </c>
      <c r="D9" s="135"/>
      <c r="E9" s="135" t="s">
        <v>67</v>
      </c>
      <c r="F9" s="135">
        <v>44256</v>
      </c>
      <c r="G9" s="135"/>
      <c r="H9" s="135"/>
      <c r="I9" s="135"/>
      <c r="J9" s="135"/>
      <c r="K9" s="135"/>
      <c r="L9" s="135"/>
      <c r="M9" s="135"/>
      <c r="N9" s="135">
        <v>44501</v>
      </c>
      <c r="O9" s="136"/>
    </row>
    <row r="10" spans="2:16" x14ac:dyDescent="0.15">
      <c r="B10" s="42" t="s">
        <v>2</v>
      </c>
      <c r="C10" s="43" t="s">
        <v>11</v>
      </c>
      <c r="D10" s="134"/>
      <c r="E10" s="134" t="s">
        <v>69</v>
      </c>
      <c r="F10" s="134">
        <v>44257</v>
      </c>
      <c r="G10" s="134"/>
      <c r="H10" s="134"/>
      <c r="I10" s="134">
        <v>44348</v>
      </c>
      <c r="J10" s="134"/>
      <c r="K10" s="137"/>
      <c r="L10" s="134"/>
      <c r="M10" s="134"/>
      <c r="N10" s="134">
        <v>44502</v>
      </c>
      <c r="O10" s="138"/>
    </row>
    <row r="11" spans="2:16" x14ac:dyDescent="0.15">
      <c r="B11" s="42" t="s">
        <v>2</v>
      </c>
      <c r="C11" s="43" t="s">
        <v>12</v>
      </c>
      <c r="D11" s="134"/>
      <c r="E11" s="134" t="s">
        <v>70</v>
      </c>
      <c r="F11" s="134">
        <v>44258</v>
      </c>
      <c r="G11" s="134"/>
      <c r="H11" s="134"/>
      <c r="I11" s="134">
        <v>44349</v>
      </c>
      <c r="J11" s="134"/>
      <c r="K11" s="137"/>
      <c r="L11" s="134">
        <v>44440</v>
      </c>
      <c r="M11" s="134"/>
      <c r="N11" s="134">
        <v>44503</v>
      </c>
      <c r="O11" s="138" t="s">
        <v>95</v>
      </c>
    </row>
    <row r="12" spans="2:16" x14ac:dyDescent="0.15">
      <c r="B12" s="42" t="s">
        <v>2</v>
      </c>
      <c r="C12" s="43" t="s">
        <v>13</v>
      </c>
      <c r="D12" s="134"/>
      <c r="E12" s="134" t="s">
        <v>71</v>
      </c>
      <c r="F12" s="134">
        <v>44259</v>
      </c>
      <c r="G12" s="134">
        <v>44287</v>
      </c>
      <c r="H12" s="134"/>
      <c r="I12" s="134">
        <v>44350</v>
      </c>
      <c r="J12" s="134">
        <v>44378</v>
      </c>
      <c r="K12" s="137"/>
      <c r="L12" s="134">
        <v>44441</v>
      </c>
      <c r="M12" s="134"/>
      <c r="N12" s="134">
        <v>44504</v>
      </c>
      <c r="O12" s="138" t="s">
        <v>96</v>
      </c>
    </row>
    <row r="13" spans="2:16" x14ac:dyDescent="0.15">
      <c r="B13" s="42" t="s">
        <v>2</v>
      </c>
      <c r="C13" s="43" t="s">
        <v>14</v>
      </c>
      <c r="D13" s="134">
        <v>44197</v>
      </c>
      <c r="E13" s="134" t="s">
        <v>72</v>
      </c>
      <c r="F13" s="134">
        <v>44260</v>
      </c>
      <c r="G13" s="134">
        <v>44288</v>
      </c>
      <c r="H13" s="134"/>
      <c r="I13" s="134">
        <v>44351</v>
      </c>
      <c r="J13" s="134">
        <v>44379</v>
      </c>
      <c r="K13" s="137"/>
      <c r="L13" s="134">
        <v>44442</v>
      </c>
      <c r="M13" s="134">
        <v>44470</v>
      </c>
      <c r="N13" s="134">
        <v>44505</v>
      </c>
      <c r="O13" s="138" t="s">
        <v>97</v>
      </c>
    </row>
    <row r="14" spans="2:16" x14ac:dyDescent="0.15">
      <c r="B14" s="42" t="s">
        <v>2</v>
      </c>
      <c r="C14" s="43" t="s">
        <v>15</v>
      </c>
      <c r="D14" s="134">
        <v>44198</v>
      </c>
      <c r="E14" s="134" t="s">
        <v>73</v>
      </c>
      <c r="F14" s="134">
        <v>44261</v>
      </c>
      <c r="G14" s="134">
        <v>44289</v>
      </c>
      <c r="H14" s="134">
        <v>44317</v>
      </c>
      <c r="I14" s="134">
        <v>44352</v>
      </c>
      <c r="J14" s="134">
        <v>44380</v>
      </c>
      <c r="K14" s="137"/>
      <c r="L14" s="134">
        <v>44443</v>
      </c>
      <c r="M14" s="134">
        <v>44471</v>
      </c>
      <c r="N14" s="134">
        <v>44506</v>
      </c>
      <c r="O14" s="138" t="s">
        <v>98</v>
      </c>
    </row>
    <row r="15" spans="2:16" ht="14" thickBot="1" x14ac:dyDescent="0.2">
      <c r="B15" s="44" t="s">
        <v>2</v>
      </c>
      <c r="C15" s="45" t="s">
        <v>16</v>
      </c>
      <c r="D15" s="133">
        <v>44199</v>
      </c>
      <c r="E15" s="134" t="s">
        <v>74</v>
      </c>
      <c r="F15" s="134">
        <v>44262</v>
      </c>
      <c r="G15" s="134">
        <v>44290</v>
      </c>
      <c r="H15" s="134">
        <v>44318</v>
      </c>
      <c r="I15" s="134">
        <v>44353</v>
      </c>
      <c r="J15" s="158">
        <v>44381</v>
      </c>
      <c r="K15" s="134">
        <v>44409</v>
      </c>
      <c r="L15" s="139">
        <v>44444</v>
      </c>
      <c r="M15" s="139">
        <v>44472</v>
      </c>
      <c r="N15" s="137">
        <v>44507</v>
      </c>
      <c r="O15" s="138" t="s">
        <v>99</v>
      </c>
    </row>
    <row r="16" spans="2:16" ht="14" thickTop="1" x14ac:dyDescent="0.15">
      <c r="B16" s="40">
        <v>2</v>
      </c>
      <c r="C16" s="41" t="str">
        <f t="shared" ref="C16:C42" si="1">+C9</f>
        <v>Lundi</v>
      </c>
      <c r="D16" s="135">
        <v>44200</v>
      </c>
      <c r="E16" s="135" t="s">
        <v>75</v>
      </c>
      <c r="F16" s="135">
        <v>44263</v>
      </c>
      <c r="G16" s="135">
        <v>44291</v>
      </c>
      <c r="H16" s="135">
        <v>44319</v>
      </c>
      <c r="I16" s="135">
        <v>44354</v>
      </c>
      <c r="J16" s="135">
        <v>44382</v>
      </c>
      <c r="K16" s="135">
        <v>44410</v>
      </c>
      <c r="L16" s="135">
        <v>44445</v>
      </c>
      <c r="M16" s="135">
        <v>44473</v>
      </c>
      <c r="N16" s="135">
        <v>44508</v>
      </c>
      <c r="O16" s="136" t="s">
        <v>100</v>
      </c>
    </row>
    <row r="17" spans="2:16" x14ac:dyDescent="0.15">
      <c r="B17" s="42" t="s">
        <v>2</v>
      </c>
      <c r="C17" s="43" t="str">
        <f t="shared" si="1"/>
        <v>Mardi</v>
      </c>
      <c r="D17" s="142">
        <v>44201</v>
      </c>
      <c r="E17" s="142" t="s">
        <v>76</v>
      </c>
      <c r="F17" s="142">
        <v>44264</v>
      </c>
      <c r="G17" s="142">
        <v>44292</v>
      </c>
      <c r="H17" s="142">
        <v>44320</v>
      </c>
      <c r="I17" s="142">
        <v>44355</v>
      </c>
      <c r="J17" s="142">
        <v>44383</v>
      </c>
      <c r="K17" s="142">
        <v>44411</v>
      </c>
      <c r="L17" s="142">
        <v>44446</v>
      </c>
      <c r="M17" s="142">
        <v>44474</v>
      </c>
      <c r="N17" s="142">
        <v>44509</v>
      </c>
      <c r="O17" s="143" t="s">
        <v>101</v>
      </c>
    </row>
    <row r="18" spans="2:16" x14ac:dyDescent="0.15">
      <c r="B18" s="42" t="s">
        <v>2</v>
      </c>
      <c r="C18" s="43" t="str">
        <f t="shared" si="1"/>
        <v>Mercredi</v>
      </c>
      <c r="D18" s="142">
        <v>44202</v>
      </c>
      <c r="E18" s="142" t="s">
        <v>77</v>
      </c>
      <c r="F18" s="142">
        <v>44265</v>
      </c>
      <c r="G18" s="142">
        <v>44293</v>
      </c>
      <c r="H18" s="142">
        <v>44321</v>
      </c>
      <c r="I18" s="142">
        <v>44356</v>
      </c>
      <c r="J18" s="142">
        <v>44384</v>
      </c>
      <c r="K18" s="142">
        <v>44412</v>
      </c>
      <c r="L18" s="142">
        <v>44447</v>
      </c>
      <c r="M18" s="142">
        <v>44475</v>
      </c>
      <c r="N18" s="142">
        <v>44510</v>
      </c>
      <c r="O18" s="143" t="s">
        <v>102</v>
      </c>
    </row>
    <row r="19" spans="2:16" x14ac:dyDescent="0.15">
      <c r="B19" s="42" t="s">
        <v>2</v>
      </c>
      <c r="C19" s="43" t="str">
        <f t="shared" si="1"/>
        <v>Jeudi</v>
      </c>
      <c r="D19" s="142">
        <v>44203</v>
      </c>
      <c r="E19" s="142" t="s">
        <v>78</v>
      </c>
      <c r="F19" s="142">
        <v>44266</v>
      </c>
      <c r="G19" s="142">
        <v>44294</v>
      </c>
      <c r="H19" s="142">
        <v>44322</v>
      </c>
      <c r="I19" s="142">
        <v>44357</v>
      </c>
      <c r="J19" s="142">
        <v>44385</v>
      </c>
      <c r="K19" s="142">
        <v>44413</v>
      </c>
      <c r="L19" s="142">
        <v>44448</v>
      </c>
      <c r="M19" s="142">
        <v>44476</v>
      </c>
      <c r="N19" s="142">
        <v>44511</v>
      </c>
      <c r="O19" s="143" t="s">
        <v>103</v>
      </c>
    </row>
    <row r="20" spans="2:16" x14ac:dyDescent="0.15">
      <c r="B20" s="42" t="s">
        <v>2</v>
      </c>
      <c r="C20" s="43" t="str">
        <f t="shared" si="1"/>
        <v>Vendredi</v>
      </c>
      <c r="D20" s="142">
        <v>44204</v>
      </c>
      <c r="E20" s="142" t="s">
        <v>79</v>
      </c>
      <c r="F20" s="142">
        <v>44267</v>
      </c>
      <c r="G20" s="142">
        <v>44295</v>
      </c>
      <c r="H20" s="142">
        <v>44323</v>
      </c>
      <c r="I20" s="142">
        <v>44358</v>
      </c>
      <c r="J20" s="142">
        <v>44386</v>
      </c>
      <c r="K20" s="142">
        <v>44414</v>
      </c>
      <c r="L20" s="142">
        <v>44449</v>
      </c>
      <c r="M20" s="142">
        <v>44477</v>
      </c>
      <c r="N20" s="142">
        <v>44512</v>
      </c>
      <c r="O20" s="143" t="s">
        <v>104</v>
      </c>
    </row>
    <row r="21" spans="2:16" x14ac:dyDescent="0.15">
      <c r="B21" s="42" t="s">
        <v>2</v>
      </c>
      <c r="C21" s="43" t="str">
        <f t="shared" si="1"/>
        <v>Samedi</v>
      </c>
      <c r="D21" s="142">
        <v>44205</v>
      </c>
      <c r="E21" s="142" t="s">
        <v>80</v>
      </c>
      <c r="F21" s="142">
        <v>44268</v>
      </c>
      <c r="G21" s="142">
        <v>44296</v>
      </c>
      <c r="H21" s="142">
        <v>44324</v>
      </c>
      <c r="I21" s="142">
        <v>44359</v>
      </c>
      <c r="J21" s="142">
        <v>44387</v>
      </c>
      <c r="K21" s="142">
        <v>44415</v>
      </c>
      <c r="L21" s="142">
        <v>44450</v>
      </c>
      <c r="M21" s="142">
        <v>44478</v>
      </c>
      <c r="N21" s="142">
        <v>44513</v>
      </c>
      <c r="O21" s="143" t="s">
        <v>105</v>
      </c>
    </row>
    <row r="22" spans="2:16" ht="14" thickBot="1" x14ac:dyDescent="0.2">
      <c r="B22" s="44" t="s">
        <v>2</v>
      </c>
      <c r="C22" s="45" t="str">
        <f t="shared" si="1"/>
        <v>Dimanche</v>
      </c>
      <c r="D22" s="142">
        <v>44206</v>
      </c>
      <c r="E22" s="142" t="s">
        <v>81</v>
      </c>
      <c r="F22" s="142">
        <v>44269</v>
      </c>
      <c r="G22" s="142">
        <v>44297</v>
      </c>
      <c r="H22" s="142">
        <v>44325</v>
      </c>
      <c r="I22" s="142">
        <v>44360</v>
      </c>
      <c r="J22" s="140">
        <v>44388</v>
      </c>
      <c r="K22" s="140">
        <v>44416</v>
      </c>
      <c r="L22" s="142">
        <v>44451</v>
      </c>
      <c r="M22" s="142">
        <v>44479</v>
      </c>
      <c r="N22" s="142">
        <v>44514</v>
      </c>
      <c r="O22" s="143" t="s">
        <v>106</v>
      </c>
    </row>
    <row r="23" spans="2:16" ht="14" thickTop="1" x14ac:dyDescent="0.15">
      <c r="B23" s="40">
        <v>3</v>
      </c>
      <c r="C23" s="41" t="str">
        <f t="shared" si="1"/>
        <v>Lundi</v>
      </c>
      <c r="D23" s="135">
        <v>44207</v>
      </c>
      <c r="E23" s="135" t="s">
        <v>82</v>
      </c>
      <c r="F23" s="135">
        <v>44270</v>
      </c>
      <c r="G23" s="135">
        <v>44298</v>
      </c>
      <c r="H23" s="135">
        <v>44326</v>
      </c>
      <c r="I23" s="135">
        <v>44361</v>
      </c>
      <c r="J23" s="134">
        <v>44389</v>
      </c>
      <c r="K23" s="135">
        <v>44417</v>
      </c>
      <c r="L23" s="135">
        <v>44452</v>
      </c>
      <c r="M23" s="141">
        <v>44480</v>
      </c>
      <c r="N23" s="135">
        <v>44515</v>
      </c>
      <c r="O23" s="136" t="s">
        <v>107</v>
      </c>
      <c r="P23" t="s">
        <v>2</v>
      </c>
    </row>
    <row r="24" spans="2:16" x14ac:dyDescent="0.15">
      <c r="B24" s="42" t="s">
        <v>2</v>
      </c>
      <c r="C24" s="43" t="str">
        <f t="shared" si="1"/>
        <v>Mardi</v>
      </c>
      <c r="D24" s="142">
        <v>44208</v>
      </c>
      <c r="E24" s="142" t="s">
        <v>83</v>
      </c>
      <c r="F24" s="142">
        <v>44271</v>
      </c>
      <c r="G24" s="142">
        <v>44299</v>
      </c>
      <c r="H24" s="142">
        <v>44327</v>
      </c>
      <c r="I24" s="142">
        <v>44362</v>
      </c>
      <c r="J24" s="142">
        <v>44390</v>
      </c>
      <c r="K24" s="142">
        <v>44418</v>
      </c>
      <c r="L24" s="142">
        <v>44453</v>
      </c>
      <c r="M24" s="142">
        <v>44481</v>
      </c>
      <c r="N24" s="142">
        <v>44516</v>
      </c>
      <c r="O24" s="143" t="s">
        <v>108</v>
      </c>
    </row>
    <row r="25" spans="2:16" x14ac:dyDescent="0.15">
      <c r="B25" s="42" t="s">
        <v>2</v>
      </c>
      <c r="C25" s="43" t="str">
        <f t="shared" si="1"/>
        <v>Mercredi</v>
      </c>
      <c r="D25" s="142">
        <v>44209</v>
      </c>
      <c r="E25" s="142" t="s">
        <v>84</v>
      </c>
      <c r="F25" s="142">
        <v>44272</v>
      </c>
      <c r="G25" s="142">
        <v>44300</v>
      </c>
      <c r="H25" s="142">
        <v>44328</v>
      </c>
      <c r="I25" s="142">
        <v>44363</v>
      </c>
      <c r="J25" s="142">
        <v>44391</v>
      </c>
      <c r="K25" s="142">
        <v>44419</v>
      </c>
      <c r="L25" s="142">
        <v>44454</v>
      </c>
      <c r="M25" s="142">
        <v>44482</v>
      </c>
      <c r="N25" s="142">
        <v>44517</v>
      </c>
      <c r="O25" s="143" t="s">
        <v>109</v>
      </c>
    </row>
    <row r="26" spans="2:16" x14ac:dyDescent="0.15">
      <c r="B26" s="42" t="s">
        <v>2</v>
      </c>
      <c r="C26" s="43" t="str">
        <f t="shared" si="1"/>
        <v>Jeudi</v>
      </c>
      <c r="D26" s="142">
        <v>44210</v>
      </c>
      <c r="E26" s="142" t="s">
        <v>85</v>
      </c>
      <c r="F26" s="142">
        <v>44273</v>
      </c>
      <c r="G26" s="142">
        <v>44301</v>
      </c>
      <c r="H26" s="142">
        <v>44329</v>
      </c>
      <c r="I26" s="142">
        <v>44364</v>
      </c>
      <c r="J26" s="142">
        <v>44392</v>
      </c>
      <c r="K26" s="142">
        <v>44420</v>
      </c>
      <c r="L26" s="142">
        <v>44455</v>
      </c>
      <c r="M26" s="142">
        <v>44483</v>
      </c>
      <c r="N26" s="142">
        <v>44518</v>
      </c>
      <c r="O26" s="143" t="s">
        <v>110</v>
      </c>
    </row>
    <row r="27" spans="2:16" x14ac:dyDescent="0.15">
      <c r="B27" s="42" t="s">
        <v>2</v>
      </c>
      <c r="C27" s="43" t="str">
        <f t="shared" si="1"/>
        <v>Vendredi</v>
      </c>
      <c r="D27" s="142">
        <v>44211</v>
      </c>
      <c r="E27" s="142" t="s">
        <v>86</v>
      </c>
      <c r="F27" s="142">
        <v>44274</v>
      </c>
      <c r="G27" s="142">
        <v>44302</v>
      </c>
      <c r="H27" s="142">
        <v>44330</v>
      </c>
      <c r="I27" s="142">
        <v>44365</v>
      </c>
      <c r="J27" s="142">
        <v>44393</v>
      </c>
      <c r="K27" s="142">
        <v>44421</v>
      </c>
      <c r="L27" s="142">
        <v>44456</v>
      </c>
      <c r="M27" s="142">
        <v>44484</v>
      </c>
      <c r="N27" s="142">
        <v>44519</v>
      </c>
      <c r="O27" s="143" t="s">
        <v>111</v>
      </c>
    </row>
    <row r="28" spans="2:16" x14ac:dyDescent="0.15">
      <c r="B28" s="42" t="s">
        <v>2</v>
      </c>
      <c r="C28" s="43" t="str">
        <f t="shared" si="1"/>
        <v>Samedi</v>
      </c>
      <c r="D28" s="142">
        <v>44212</v>
      </c>
      <c r="E28" s="142" t="s">
        <v>87</v>
      </c>
      <c r="F28" s="142">
        <v>44275</v>
      </c>
      <c r="G28" s="142">
        <v>44303</v>
      </c>
      <c r="H28" s="142">
        <v>44331</v>
      </c>
      <c r="I28" s="142">
        <v>44366</v>
      </c>
      <c r="J28" s="142">
        <v>44394</v>
      </c>
      <c r="K28" s="142">
        <v>44422</v>
      </c>
      <c r="L28" s="142">
        <v>44457</v>
      </c>
      <c r="M28" s="142">
        <v>44485</v>
      </c>
      <c r="N28" s="142">
        <v>44520</v>
      </c>
      <c r="O28" s="143" t="s">
        <v>112</v>
      </c>
    </row>
    <row r="29" spans="2:16" ht="14" thickBot="1" x14ac:dyDescent="0.2">
      <c r="B29" s="44" t="s">
        <v>2</v>
      </c>
      <c r="C29" s="45" t="str">
        <f t="shared" si="1"/>
        <v>Dimanche</v>
      </c>
      <c r="D29" s="142">
        <v>44213</v>
      </c>
      <c r="E29" s="142" t="s">
        <v>88</v>
      </c>
      <c r="F29" s="142">
        <v>44276</v>
      </c>
      <c r="G29" s="142">
        <v>44304</v>
      </c>
      <c r="H29" s="142">
        <v>44332</v>
      </c>
      <c r="I29" s="142">
        <v>44367</v>
      </c>
      <c r="J29" s="140">
        <v>44395</v>
      </c>
      <c r="K29" s="142">
        <v>44423</v>
      </c>
      <c r="L29" s="142">
        <v>44458</v>
      </c>
      <c r="M29" s="142">
        <v>44486</v>
      </c>
      <c r="N29" s="142">
        <v>44521</v>
      </c>
      <c r="O29" s="143" t="s">
        <v>113</v>
      </c>
    </row>
    <row r="30" spans="2:16" ht="14" thickTop="1" x14ac:dyDescent="0.15">
      <c r="B30" s="40">
        <v>4</v>
      </c>
      <c r="C30" s="41" t="str">
        <f t="shared" si="1"/>
        <v>Lundi</v>
      </c>
      <c r="D30" s="135">
        <v>44214</v>
      </c>
      <c r="E30" s="135" t="s">
        <v>89</v>
      </c>
      <c r="F30" s="135">
        <v>44277</v>
      </c>
      <c r="G30" s="135">
        <v>44305</v>
      </c>
      <c r="H30" s="135">
        <v>44333</v>
      </c>
      <c r="I30" s="135">
        <v>44368</v>
      </c>
      <c r="J30" s="134">
        <v>44396</v>
      </c>
      <c r="K30" s="135">
        <v>44424</v>
      </c>
      <c r="L30" s="135">
        <v>44459</v>
      </c>
      <c r="M30" s="135">
        <v>44487</v>
      </c>
      <c r="N30" s="135">
        <v>44522</v>
      </c>
      <c r="O30" s="136" t="s">
        <v>114</v>
      </c>
    </row>
    <row r="31" spans="2:16" x14ac:dyDescent="0.15">
      <c r="B31" s="42" t="s">
        <v>2</v>
      </c>
      <c r="C31" s="43" t="str">
        <f t="shared" si="1"/>
        <v>Mardi</v>
      </c>
      <c r="D31" s="142">
        <v>44215</v>
      </c>
      <c r="E31" s="142" t="s">
        <v>90</v>
      </c>
      <c r="F31" s="142">
        <v>44278</v>
      </c>
      <c r="G31" s="142">
        <v>44306</v>
      </c>
      <c r="H31" s="142">
        <v>44334</v>
      </c>
      <c r="I31" s="142">
        <v>44369</v>
      </c>
      <c r="J31" s="142">
        <v>44397</v>
      </c>
      <c r="K31" s="142">
        <v>44425</v>
      </c>
      <c r="L31" s="142">
        <v>44460</v>
      </c>
      <c r="M31" s="142">
        <v>44488</v>
      </c>
      <c r="N31" s="142">
        <v>44523</v>
      </c>
      <c r="O31" s="143" t="s">
        <v>115</v>
      </c>
    </row>
    <row r="32" spans="2:16" x14ac:dyDescent="0.15">
      <c r="B32" s="42" t="s">
        <v>2</v>
      </c>
      <c r="C32" s="43" t="str">
        <f t="shared" si="1"/>
        <v>Mercredi</v>
      </c>
      <c r="D32" s="142">
        <v>44216</v>
      </c>
      <c r="E32" s="142" t="s">
        <v>91</v>
      </c>
      <c r="F32" s="142">
        <v>44279</v>
      </c>
      <c r="G32" s="142">
        <v>44307</v>
      </c>
      <c r="H32" s="142">
        <v>44335</v>
      </c>
      <c r="I32" s="142">
        <v>44370</v>
      </c>
      <c r="J32" s="142">
        <v>44398</v>
      </c>
      <c r="K32" s="142">
        <v>44426</v>
      </c>
      <c r="L32" s="142">
        <v>44461</v>
      </c>
      <c r="M32" s="142">
        <v>44489</v>
      </c>
      <c r="N32" s="142">
        <v>44524</v>
      </c>
      <c r="O32" s="143" t="s">
        <v>116</v>
      </c>
    </row>
    <row r="33" spans="2:15" x14ac:dyDescent="0.15">
      <c r="B33" s="42" t="s">
        <v>2</v>
      </c>
      <c r="C33" s="43" t="str">
        <f t="shared" si="1"/>
        <v>Jeudi</v>
      </c>
      <c r="D33" s="142">
        <v>44217</v>
      </c>
      <c r="E33" s="142" t="s">
        <v>92</v>
      </c>
      <c r="F33" s="142">
        <v>44280</v>
      </c>
      <c r="G33" s="142">
        <v>44308</v>
      </c>
      <c r="H33" s="142">
        <v>44336</v>
      </c>
      <c r="I33" s="142">
        <v>44371</v>
      </c>
      <c r="J33" s="142">
        <v>44399</v>
      </c>
      <c r="K33" s="142">
        <v>44427</v>
      </c>
      <c r="L33" s="142">
        <v>44462</v>
      </c>
      <c r="M33" s="142">
        <v>44490</v>
      </c>
      <c r="N33" s="142">
        <v>44525</v>
      </c>
      <c r="O33" s="143" t="s">
        <v>117</v>
      </c>
    </row>
    <row r="34" spans="2:15" x14ac:dyDescent="0.15">
      <c r="B34" s="42" t="s">
        <v>2</v>
      </c>
      <c r="C34" s="43" t="str">
        <f t="shared" si="1"/>
        <v>Vendredi</v>
      </c>
      <c r="D34" s="142">
        <v>44218</v>
      </c>
      <c r="E34" s="142" t="s">
        <v>93</v>
      </c>
      <c r="F34" s="142">
        <v>44281</v>
      </c>
      <c r="G34" s="142">
        <v>44309</v>
      </c>
      <c r="H34" s="142">
        <v>44337</v>
      </c>
      <c r="I34" s="142">
        <v>44372</v>
      </c>
      <c r="J34" s="142">
        <v>44400</v>
      </c>
      <c r="K34" s="142">
        <v>44428</v>
      </c>
      <c r="L34" s="142">
        <v>44463</v>
      </c>
      <c r="M34" s="142">
        <v>44491</v>
      </c>
      <c r="N34" s="142">
        <v>44526</v>
      </c>
      <c r="O34" s="143" t="s">
        <v>118</v>
      </c>
    </row>
    <row r="35" spans="2:15" x14ac:dyDescent="0.15">
      <c r="B35" s="42" t="s">
        <v>2</v>
      </c>
      <c r="C35" s="43" t="str">
        <f t="shared" si="1"/>
        <v>Samedi</v>
      </c>
      <c r="D35" s="142">
        <v>44219</v>
      </c>
      <c r="E35" s="142" t="s">
        <v>94</v>
      </c>
      <c r="F35" s="142">
        <v>44282</v>
      </c>
      <c r="G35" s="142">
        <v>44310</v>
      </c>
      <c r="H35" s="142">
        <v>44338</v>
      </c>
      <c r="I35" s="142">
        <v>44373</v>
      </c>
      <c r="J35" s="142">
        <v>44401</v>
      </c>
      <c r="K35" s="142">
        <v>44429</v>
      </c>
      <c r="L35" s="142">
        <v>44464</v>
      </c>
      <c r="M35" s="142">
        <v>44492</v>
      </c>
      <c r="N35" s="142">
        <v>44527</v>
      </c>
      <c r="O35" s="143" t="s">
        <v>119</v>
      </c>
    </row>
    <row r="36" spans="2:15" ht="14" thickBot="1" x14ac:dyDescent="0.2">
      <c r="B36" s="44"/>
      <c r="C36" s="45" t="str">
        <f t="shared" si="1"/>
        <v>Dimanche</v>
      </c>
      <c r="D36" s="142">
        <v>44220</v>
      </c>
      <c r="E36" s="142" t="s">
        <v>68</v>
      </c>
      <c r="F36" s="142">
        <v>44283</v>
      </c>
      <c r="G36" s="142">
        <v>44311</v>
      </c>
      <c r="H36" s="142">
        <v>44339</v>
      </c>
      <c r="I36" s="142">
        <v>44374</v>
      </c>
      <c r="J36" s="140">
        <v>44402</v>
      </c>
      <c r="K36" s="142">
        <v>44430</v>
      </c>
      <c r="L36" s="142">
        <v>44465</v>
      </c>
      <c r="M36" s="142">
        <v>44493</v>
      </c>
      <c r="N36" s="142">
        <v>44528</v>
      </c>
      <c r="O36" s="143" t="s">
        <v>120</v>
      </c>
    </row>
    <row r="37" spans="2:15" ht="15" thickTop="1" x14ac:dyDescent="0.15">
      <c r="B37" s="46">
        <v>5</v>
      </c>
      <c r="C37" s="47" t="str">
        <f t="shared" si="1"/>
        <v>Lundi</v>
      </c>
      <c r="D37" s="145">
        <v>44221</v>
      </c>
      <c r="E37" s="145"/>
      <c r="F37" s="145">
        <v>44284</v>
      </c>
      <c r="G37" s="145">
        <v>44312</v>
      </c>
      <c r="H37" s="145">
        <v>44340</v>
      </c>
      <c r="I37" s="145">
        <v>44375</v>
      </c>
      <c r="J37" s="134">
        <v>44403</v>
      </c>
      <c r="K37" s="145">
        <v>44431</v>
      </c>
      <c r="L37" s="145">
        <v>44466</v>
      </c>
      <c r="M37" s="145">
        <v>44494</v>
      </c>
      <c r="N37" s="145">
        <v>44529</v>
      </c>
      <c r="O37" s="159" t="s">
        <v>121</v>
      </c>
    </row>
    <row r="38" spans="2:15" ht="14" x14ac:dyDescent="0.15">
      <c r="B38" s="48"/>
      <c r="C38" s="49" t="str">
        <f t="shared" si="1"/>
        <v>Mardi</v>
      </c>
      <c r="D38" s="146">
        <v>44222</v>
      </c>
      <c r="E38" s="146"/>
      <c r="F38" s="146">
        <v>44285</v>
      </c>
      <c r="G38" s="146">
        <v>44313</v>
      </c>
      <c r="H38" s="146">
        <v>44341</v>
      </c>
      <c r="I38" s="146">
        <v>44376</v>
      </c>
      <c r="J38" s="142">
        <v>44404</v>
      </c>
      <c r="K38" s="146">
        <v>44432</v>
      </c>
      <c r="L38" s="146">
        <v>44467</v>
      </c>
      <c r="M38" s="146">
        <v>44495</v>
      </c>
      <c r="N38" s="146">
        <v>44530</v>
      </c>
      <c r="O38" s="147" t="s">
        <v>122</v>
      </c>
    </row>
    <row r="39" spans="2:15" ht="14" x14ac:dyDescent="0.15">
      <c r="B39" s="50"/>
      <c r="C39" s="51" t="str">
        <f t="shared" si="1"/>
        <v>Mercredi</v>
      </c>
      <c r="D39" s="146">
        <v>44223</v>
      </c>
      <c r="E39" s="146"/>
      <c r="F39" s="146">
        <v>44286</v>
      </c>
      <c r="G39" s="146">
        <v>44314</v>
      </c>
      <c r="H39" s="146">
        <v>44342</v>
      </c>
      <c r="I39" s="146">
        <v>44377</v>
      </c>
      <c r="J39" s="142">
        <v>44405</v>
      </c>
      <c r="K39" s="146">
        <v>44433</v>
      </c>
      <c r="L39" s="146">
        <v>44468</v>
      </c>
      <c r="M39" s="146">
        <v>44496</v>
      </c>
      <c r="N39" s="146"/>
      <c r="O39" s="147" t="s">
        <v>123</v>
      </c>
    </row>
    <row r="40" spans="2:15" ht="14" x14ac:dyDescent="0.15">
      <c r="B40" s="52"/>
      <c r="C40" s="53" t="str">
        <f t="shared" si="1"/>
        <v>Jeudi</v>
      </c>
      <c r="D40" s="146">
        <v>44224</v>
      </c>
      <c r="E40" s="146"/>
      <c r="F40" s="146"/>
      <c r="G40" s="146">
        <v>44315</v>
      </c>
      <c r="H40" s="146">
        <v>44343</v>
      </c>
      <c r="I40" s="146"/>
      <c r="J40" s="142">
        <v>44406</v>
      </c>
      <c r="K40" s="146">
        <v>44434</v>
      </c>
      <c r="L40" s="146">
        <v>44469</v>
      </c>
      <c r="M40" s="146">
        <v>44497</v>
      </c>
      <c r="N40" s="146"/>
      <c r="O40" s="147" t="s">
        <v>124</v>
      </c>
    </row>
    <row r="41" spans="2:15" ht="14" x14ac:dyDescent="0.15">
      <c r="B41" s="52"/>
      <c r="C41" s="53" t="str">
        <f t="shared" si="1"/>
        <v>Vendredi</v>
      </c>
      <c r="D41" s="146">
        <v>44225</v>
      </c>
      <c r="E41" s="146"/>
      <c r="F41" s="146"/>
      <c r="G41" s="146">
        <v>44316</v>
      </c>
      <c r="H41" s="146">
        <v>44344</v>
      </c>
      <c r="I41" s="146"/>
      <c r="J41" s="142">
        <v>44407</v>
      </c>
      <c r="K41" s="146">
        <v>44435</v>
      </c>
      <c r="L41" s="146"/>
      <c r="M41" s="146">
        <v>44498</v>
      </c>
      <c r="N41" s="146"/>
      <c r="O41" s="147" t="s">
        <v>125</v>
      </c>
    </row>
    <row r="42" spans="2:15" x14ac:dyDescent="0.15">
      <c r="B42" s="52"/>
      <c r="C42" s="53" t="str">
        <f t="shared" si="1"/>
        <v>Samedi</v>
      </c>
      <c r="D42" s="146">
        <v>44226</v>
      </c>
      <c r="E42" s="146"/>
      <c r="F42" s="146"/>
      <c r="G42" s="148"/>
      <c r="H42" s="146">
        <v>44345</v>
      </c>
      <c r="I42" s="148"/>
      <c r="J42" s="142">
        <v>44408</v>
      </c>
      <c r="K42" s="146">
        <v>44436</v>
      </c>
      <c r="L42" s="146"/>
      <c r="M42" s="146">
        <v>44499</v>
      </c>
      <c r="N42" s="146"/>
      <c r="O42" s="147"/>
    </row>
    <row r="43" spans="2:15" ht="14" thickBot="1" x14ac:dyDescent="0.2">
      <c r="B43" s="54"/>
      <c r="C43" s="45" t="str">
        <f>+C36</f>
        <v>Dimanche</v>
      </c>
      <c r="D43" s="149">
        <v>44227</v>
      </c>
      <c r="E43" s="149"/>
      <c r="F43" s="149"/>
      <c r="G43" s="140"/>
      <c r="H43" s="149">
        <v>44346</v>
      </c>
      <c r="I43" s="140"/>
      <c r="J43" s="144"/>
      <c r="K43" s="149">
        <v>44437</v>
      </c>
      <c r="L43" s="149"/>
      <c r="M43" s="149">
        <v>44500</v>
      </c>
      <c r="N43" s="149"/>
      <c r="O43" s="150"/>
    </row>
    <row r="44" spans="2:15" ht="15" thickTop="1" x14ac:dyDescent="0.15">
      <c r="B44" s="55">
        <v>6</v>
      </c>
      <c r="C44" s="56" t="str">
        <f t="shared" ref="C44:C49" si="2">+C37</f>
        <v>Lundi</v>
      </c>
      <c r="D44" s="151"/>
      <c r="E44" s="151"/>
      <c r="F44" s="151"/>
      <c r="G44" s="151"/>
      <c r="H44" s="151">
        <v>44347</v>
      </c>
      <c r="I44" s="151"/>
      <c r="J44" s="137"/>
      <c r="K44" s="151">
        <v>44438</v>
      </c>
      <c r="L44" s="151"/>
      <c r="M44" s="151"/>
      <c r="N44" s="151"/>
      <c r="O44" s="152"/>
    </row>
    <row r="45" spans="2:15" ht="14" x14ac:dyDescent="0.15">
      <c r="B45" s="48"/>
      <c r="C45" s="49" t="str">
        <f t="shared" si="2"/>
        <v>Mardi</v>
      </c>
      <c r="D45" s="146"/>
      <c r="E45" s="146"/>
      <c r="F45" s="153"/>
      <c r="G45" s="146"/>
      <c r="H45" s="146"/>
      <c r="I45" s="146"/>
      <c r="J45" s="146"/>
      <c r="K45" s="146">
        <v>44439</v>
      </c>
      <c r="L45" s="153"/>
      <c r="M45" s="154"/>
      <c r="N45" s="146"/>
      <c r="O45" s="155"/>
    </row>
    <row r="46" spans="2:15" ht="14" x14ac:dyDescent="0.15">
      <c r="B46" s="48"/>
      <c r="C46" s="49" t="str">
        <f t="shared" si="2"/>
        <v>Mercredi</v>
      </c>
      <c r="D46" s="146"/>
      <c r="E46" s="146"/>
      <c r="F46" s="146"/>
      <c r="G46" s="146"/>
      <c r="H46" s="146"/>
      <c r="I46" s="146"/>
      <c r="J46" s="146"/>
      <c r="K46" s="146"/>
      <c r="L46" s="146"/>
      <c r="M46" s="146"/>
      <c r="N46" s="146"/>
      <c r="O46" s="147"/>
    </row>
    <row r="47" spans="2:15" ht="14" x14ac:dyDescent="0.15">
      <c r="B47" s="48"/>
      <c r="C47" s="49" t="str">
        <f t="shared" si="2"/>
        <v>Jeudi</v>
      </c>
      <c r="D47" s="146"/>
      <c r="E47" s="146"/>
      <c r="F47" s="146"/>
      <c r="G47" s="146"/>
      <c r="H47" s="146"/>
      <c r="I47" s="146"/>
      <c r="J47" s="146"/>
      <c r="K47" s="146"/>
      <c r="L47" s="146"/>
      <c r="M47" s="146"/>
      <c r="N47" s="146"/>
      <c r="O47" s="147"/>
    </row>
    <row r="48" spans="2:15" ht="14" x14ac:dyDescent="0.15">
      <c r="B48" s="48"/>
      <c r="C48" s="49" t="str">
        <f t="shared" si="2"/>
        <v>Vendredi</v>
      </c>
      <c r="D48" s="146"/>
      <c r="E48" s="146"/>
      <c r="F48" s="146"/>
      <c r="G48" s="146"/>
      <c r="H48" s="146"/>
      <c r="I48" s="146"/>
      <c r="J48" s="146"/>
      <c r="K48" s="146"/>
      <c r="L48" s="146"/>
      <c r="M48" s="146"/>
      <c r="N48" s="146"/>
      <c r="O48" s="147"/>
    </row>
    <row r="49" spans="2:15" x14ac:dyDescent="0.15">
      <c r="B49" s="52"/>
      <c r="C49" s="53" t="str">
        <f t="shared" si="2"/>
        <v>Samedi</v>
      </c>
      <c r="D49" s="148"/>
      <c r="E49" s="146"/>
      <c r="F49" s="146"/>
      <c r="G49" s="148"/>
      <c r="H49" s="148"/>
      <c r="I49" s="148"/>
      <c r="J49" s="148"/>
      <c r="K49" s="148"/>
      <c r="L49" s="148"/>
      <c r="M49" s="148"/>
      <c r="N49" s="148"/>
      <c r="O49" s="156"/>
    </row>
    <row r="50" spans="2:15" ht="14" thickBot="1" x14ac:dyDescent="0.2">
      <c r="B50" s="54" t="s">
        <v>2</v>
      </c>
      <c r="C50" s="45" t="str">
        <f>+C43</f>
        <v>Dimanche</v>
      </c>
      <c r="D50" s="140"/>
      <c r="E50" s="140"/>
      <c r="F50" s="149"/>
      <c r="G50" s="140"/>
      <c r="H50" s="140"/>
      <c r="I50" s="140"/>
      <c r="J50" s="140"/>
      <c r="K50" s="140"/>
      <c r="L50" s="140"/>
      <c r="M50" s="140"/>
      <c r="N50" s="140"/>
      <c r="O50" s="157"/>
    </row>
    <row r="51" spans="2:15" ht="14" thickTop="1" x14ac:dyDescent="0.15">
      <c r="C51" s="57"/>
    </row>
    <row r="52" spans="2:15" x14ac:dyDescent="0.15">
      <c r="B52" s="58" t="s">
        <v>2</v>
      </c>
    </row>
    <row r="53" spans="2:15" x14ac:dyDescent="0.15">
      <c r="B53" s="58" t="s">
        <v>2</v>
      </c>
    </row>
    <row r="54" spans="2:15" x14ac:dyDescent="0.15">
      <c r="B54" s="58" t="s">
        <v>2</v>
      </c>
    </row>
  </sheetData>
  <sheetProtection algorithmName="SHA-512" hashValue="QBU9e3bb8tgeeL/rdJ+rF7CL0LA8y7hk5WYAtHsgB5ZEmuZVMsL2zqABMSE+fxcE6yyGYso4fq+CeiJJH+Fm/Q==" saltValue="RsGSyNivvund42k6QoJdPw==" spinCount="100000" sheet="1" objects="1" scenarios="1"/>
  <mergeCells count="5">
    <mergeCell ref="B2:O2"/>
    <mergeCell ref="B3:O3"/>
    <mergeCell ref="B7:C7"/>
    <mergeCell ref="B8:C8"/>
    <mergeCell ref="B4:O4"/>
  </mergeCells>
  <phoneticPr fontId="46" type="noConversion"/>
  <pageMargins left="0.75" right="0.75" top="1" bottom="1" header="0.4921259845" footer="0.492125984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8D339-7F2C-4446-AA6B-D9D099419334}">
  <sheetPr>
    <tabColor theme="1"/>
    <pageSetUpPr fitToPage="1"/>
  </sheetPr>
  <dimension ref="B1:BQ53"/>
  <sheetViews>
    <sheetView topLeftCell="A2" zoomScale="125" zoomScaleNormal="125" zoomScalePageLayoutView="125" workbookViewId="0">
      <selection activeCell="AE4" sqref="AE4"/>
    </sheetView>
  </sheetViews>
  <sheetFormatPr baseColWidth="10" defaultRowHeight="13" x14ac:dyDescent="0.15"/>
  <cols>
    <col min="1" max="1" width="2.1640625" style="161" customWidth="1"/>
    <col min="2" max="2" width="5.1640625" style="161" customWidth="1"/>
    <col min="3" max="3" width="48.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0" t="str">
        <f>'État des Résultats'!C2</f>
        <v xml:space="preserve">Entreprise de restauration alimentaire 12 inc. </v>
      </c>
      <c r="C2" s="941"/>
      <c r="AS2" s="898" t="s">
        <v>42</v>
      </c>
      <c r="AT2" s="369"/>
      <c r="AU2" s="369"/>
      <c r="AV2" s="369"/>
      <c r="AW2" s="369"/>
      <c r="AX2" s="369"/>
      <c r="AY2" s="369"/>
      <c r="AZ2" s="369"/>
      <c r="BA2" s="369"/>
      <c r="BB2" s="369"/>
      <c r="BC2" s="901" t="s">
        <v>43</v>
      </c>
    </row>
    <row r="3" spans="2:56" ht="20" customHeight="1" x14ac:dyDescent="0.2">
      <c r="B3" s="942" t="str">
        <f>'État des Résultats'!C3</f>
        <v xml:space="preserve">États des résultats prévisionnels </v>
      </c>
      <c r="C3" s="943"/>
      <c r="AS3" s="899"/>
      <c r="AT3" s="370"/>
      <c r="AU3" s="370"/>
      <c r="AV3" s="370"/>
      <c r="AW3" s="370"/>
      <c r="AX3" s="370"/>
      <c r="AY3" s="370"/>
      <c r="AZ3" s="370"/>
      <c r="BA3" s="370"/>
      <c r="BB3" s="370"/>
      <c r="BC3" s="902"/>
    </row>
    <row r="4" spans="2:56" ht="22" thickBot="1" x14ac:dyDescent="0.3">
      <c r="B4" s="944" t="str">
        <f>'État des Résultats'!C4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16" t="str">
        <f>'État des Résultats'!C6</f>
        <v>Nb de places</v>
      </c>
      <c r="C6" s="946"/>
      <c r="E6" s="693" t="str">
        <f>'Coût marchandises vendues'!D6</f>
        <v>Coût / place / jour</v>
      </c>
      <c r="F6" s="694">
        <f>+E34/$B$7/'Calendrier 2021'!D8</f>
        <v>1.2903225806451613</v>
      </c>
      <c r="G6" s="170"/>
      <c r="H6" s="693" t="str">
        <f>+E6</f>
        <v>Coût / place / jour</v>
      </c>
      <c r="I6" s="694">
        <f>+H34/$B$7/'Calendrier 2021'!E8</f>
        <v>1.4285714285714286</v>
      </c>
      <c r="J6" s="170"/>
      <c r="K6" s="693" t="str">
        <f>+H6</f>
        <v>Coût / place / jour</v>
      </c>
      <c r="L6" s="694">
        <f>+K34/$B$7/'Calendrier 2021'!F8</f>
        <v>1.2903225806451613</v>
      </c>
      <c r="M6" s="170"/>
      <c r="N6" s="693" t="str">
        <f>+K6</f>
        <v>Coût / place / jour</v>
      </c>
      <c r="O6" s="694">
        <f>+N34/$B$7/'Calendrier 2021'!G8</f>
        <v>1.3333333333333333</v>
      </c>
      <c r="P6" s="436"/>
      <c r="Q6" s="693" t="str">
        <f>+N6</f>
        <v>Coût / place / jour</v>
      </c>
      <c r="R6" s="694">
        <f>+Q34/$B$7/'Calendrier 2021'!H8</f>
        <v>1.2903225806451613</v>
      </c>
      <c r="S6" s="436"/>
      <c r="T6" s="693" t="str">
        <f>+Q6</f>
        <v>Coût / place / jour</v>
      </c>
      <c r="U6" s="694">
        <f>+T34/$B$7/'Calendrier 2021'!I8</f>
        <v>1.3333333333333333</v>
      </c>
      <c r="V6" s="170"/>
      <c r="W6" s="693" t="str">
        <f>+T6</f>
        <v>Coût / place / jour</v>
      </c>
      <c r="X6" s="694">
        <f>+W34/$B$7/'Calendrier 2021'!J8</f>
        <v>1.2903225806451613</v>
      </c>
      <c r="Y6" s="170"/>
      <c r="Z6" s="693" t="str">
        <f>+W6</f>
        <v>Coût / place / jour</v>
      </c>
      <c r="AA6" s="694">
        <f>+Z34/$B$7/'Calendrier 2021'!K8</f>
        <v>1.2903225806451613</v>
      </c>
      <c r="AB6" s="170"/>
      <c r="AC6" s="693" t="str">
        <f>+Z6</f>
        <v>Coût / place / jour</v>
      </c>
      <c r="AD6" s="694">
        <f>+AC34/$B$7/'Calendrier 2021'!L8</f>
        <v>1.3333333333333333</v>
      </c>
      <c r="AE6" s="170"/>
      <c r="AF6" s="693" t="str">
        <f>+AC6</f>
        <v>Coût / place / jour</v>
      </c>
      <c r="AG6" s="694">
        <f>+AF34/$B$7/'Calendrier 2021'!M8</f>
        <v>1.2903225806451613</v>
      </c>
      <c r="AH6" s="170"/>
      <c r="AI6" s="693" t="str">
        <f>+AF6</f>
        <v>Coût / place / jour</v>
      </c>
      <c r="AJ6" s="694">
        <f>+AI34/$B$7/'Calendrier 2021'!N8</f>
        <v>1.3333333333333333</v>
      </c>
      <c r="AK6" s="170"/>
      <c r="AL6" s="693" t="str">
        <f>+AI6</f>
        <v>Coût / place / jour</v>
      </c>
      <c r="AM6" s="694">
        <f>+AL34/$B$7/'Calendrier 2021'!O8</f>
        <v>1.2903225806451613</v>
      </c>
      <c r="AN6" s="170"/>
      <c r="AO6" s="170"/>
      <c r="AP6" s="695" t="str">
        <f>+AL6</f>
        <v>Coût / place / jour</v>
      </c>
      <c r="AQ6" s="696">
        <f>+AP34/$B$7/'% Occupation'!P9</f>
        <v>1.3150684931506849</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48">
        <f>'État des Résultats'!C7</f>
        <v>50</v>
      </c>
      <c r="C7" s="947"/>
      <c r="E7" s="438">
        <f>+E34/$AP34</f>
        <v>8.3333333333333329E-2</v>
      </c>
      <c r="F7" s="697"/>
      <c r="H7" s="438">
        <f>+H34/$AP34</f>
        <v>8.3333333333333329E-2</v>
      </c>
      <c r="I7" s="697"/>
      <c r="K7" s="438">
        <f>+K34/$AP34</f>
        <v>8.3333333333333329E-2</v>
      </c>
      <c r="L7" s="439"/>
      <c r="N7" s="438">
        <f>+N34/$AP34</f>
        <v>8.3333333333333329E-2</v>
      </c>
      <c r="O7" s="439"/>
      <c r="P7" s="698"/>
      <c r="Q7" s="438">
        <f>+Q34/$AP34</f>
        <v>8.3333333333333329E-2</v>
      </c>
      <c r="R7" s="439"/>
      <c r="S7" s="698"/>
      <c r="T7" s="438">
        <f>+T34/$AP34</f>
        <v>8.3333333333333329E-2</v>
      </c>
      <c r="U7" s="439"/>
      <c r="W7" s="438">
        <f>+W34/$AP34</f>
        <v>8.3333333333333329E-2</v>
      </c>
      <c r="X7" s="439"/>
      <c r="Z7" s="438">
        <f>+Z34/$AP34</f>
        <v>8.3333333333333329E-2</v>
      </c>
      <c r="AA7" s="439"/>
      <c r="AC7" s="438">
        <f>+AC34/$AP34</f>
        <v>8.3333333333333329E-2</v>
      </c>
      <c r="AD7" s="439"/>
      <c r="AF7" s="438">
        <f>+AF34/$AP34</f>
        <v>8.3333333333333329E-2</v>
      </c>
      <c r="AG7" s="439"/>
      <c r="AI7" s="438">
        <f>+AI34/$AP34</f>
        <v>8.3333333333333329E-2</v>
      </c>
      <c r="AJ7" s="439"/>
      <c r="AL7" s="438">
        <f>+AL34/$AP34</f>
        <v>8.3333333333333329E-2</v>
      </c>
      <c r="AM7" s="439"/>
      <c r="AP7" s="699">
        <f>+AP34/$AP34</f>
        <v>1</v>
      </c>
      <c r="AQ7" s="700" t="s">
        <v>137</v>
      </c>
      <c r="AS7" s="899"/>
      <c r="AT7" s="684">
        <f>AP34</f>
        <v>24000</v>
      </c>
      <c r="AU7" s="371" t="s">
        <v>44</v>
      </c>
      <c r="AV7" s="685">
        <f>'Formule pour le calcul D'!G114</f>
        <v>22875</v>
      </c>
      <c r="AW7" s="371" t="s">
        <v>45</v>
      </c>
      <c r="AX7" s="371" t="s">
        <v>46</v>
      </c>
      <c r="AY7" s="686">
        <f>'Formule pour le calcul D'!J106</f>
        <v>2.2200000000000002</v>
      </c>
      <c r="AZ7" s="371" t="s">
        <v>45</v>
      </c>
      <c r="BA7" s="687">
        <f>AT7/AV7/AY7</f>
        <v>0.47260375129227589</v>
      </c>
      <c r="BB7" s="371" t="s">
        <v>49</v>
      </c>
      <c r="BC7" s="902"/>
    </row>
    <row r="8" spans="2:56" ht="17" thickBot="1" x14ac:dyDescent="0.25">
      <c r="B8" s="920" t="s">
        <v>263</v>
      </c>
      <c r="C8" s="947"/>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04" t="str">
        <f>'État des Résultats'!AP8</f>
        <v>Total</v>
      </c>
      <c r="AQ8" s="701" t="str">
        <f>AM8</f>
        <v>(%)</v>
      </c>
      <c r="AS8" s="900"/>
      <c r="AT8" s="376"/>
      <c r="AU8" s="376"/>
      <c r="AV8" s="376"/>
      <c r="AW8" s="376"/>
      <c r="AX8" s="376"/>
      <c r="AY8" s="376"/>
      <c r="AZ8" s="376"/>
      <c r="BA8" s="376"/>
      <c r="BB8" s="376"/>
      <c r="BC8" s="903"/>
    </row>
    <row r="9" spans="2:56" ht="15" thickTop="1" thickBot="1" x14ac:dyDescent="0.2">
      <c r="B9" s="904">
        <f>AP34/$B$7</f>
        <v>480</v>
      </c>
      <c r="C9" s="939"/>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28" t="str">
        <f>'État des Résultats'!AP9</f>
        <v>Année</v>
      </c>
      <c r="AQ9" s="729"/>
      <c r="AR9" s="730"/>
      <c r="AS9" s="730"/>
      <c r="AT9" s="331"/>
      <c r="AU9" s="331"/>
      <c r="AV9" s="331"/>
      <c r="AW9" s="331"/>
      <c r="AX9" s="331"/>
      <c r="AY9" s="331"/>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20" customHeight="1" thickTop="1" x14ac:dyDescent="0.2">
      <c r="B11" s="706"/>
      <c r="C11" s="751" t="s">
        <v>264</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46">
        <v>7402</v>
      </c>
      <c r="C13" s="432" t="s">
        <v>265</v>
      </c>
      <c r="E13" s="710">
        <v>0</v>
      </c>
      <c r="F13" s="711">
        <f>E13/'État des Résultats'!$E$14</f>
        <v>0</v>
      </c>
      <c r="H13" s="710">
        <v>0</v>
      </c>
      <c r="I13" s="711">
        <f>H13/'État des Résultats'!$E$14</f>
        <v>0</v>
      </c>
      <c r="K13" s="710">
        <v>0</v>
      </c>
      <c r="L13" s="711">
        <f>K13/'État des Résultats'!$E$14</f>
        <v>0</v>
      </c>
      <c r="N13" s="710">
        <v>0</v>
      </c>
      <c r="O13" s="711">
        <f>N13/'État des Résultats'!$E$14</f>
        <v>0</v>
      </c>
      <c r="Q13" s="710">
        <v>0</v>
      </c>
      <c r="R13" s="711">
        <f>Q13/'État des Résultats'!$E$14</f>
        <v>0</v>
      </c>
      <c r="T13" s="710">
        <v>0</v>
      </c>
      <c r="U13" s="711">
        <f>T13/'État des Résultats'!$E$14</f>
        <v>0</v>
      </c>
      <c r="W13" s="710">
        <v>0</v>
      </c>
      <c r="X13" s="711">
        <f>W13/'État des Résultats'!$E$14</f>
        <v>0</v>
      </c>
      <c r="Z13" s="710">
        <v>0</v>
      </c>
      <c r="AA13" s="711">
        <f>Z13/'État des Résultats'!$E$14</f>
        <v>0</v>
      </c>
      <c r="AC13" s="710">
        <v>0</v>
      </c>
      <c r="AD13" s="711">
        <f>AC13/'État des Résultats'!$E$14</f>
        <v>0</v>
      </c>
      <c r="AF13" s="710">
        <v>0</v>
      </c>
      <c r="AG13" s="711">
        <f>AF13/'État des Résultats'!$E$14</f>
        <v>0</v>
      </c>
      <c r="AI13" s="710">
        <v>0</v>
      </c>
      <c r="AJ13" s="711">
        <f>AI13/'État des Résultats'!$E$14</f>
        <v>0</v>
      </c>
      <c r="AL13" s="710">
        <v>0</v>
      </c>
      <c r="AM13" s="711">
        <f>AL13/'État des Résultats'!$E$14</f>
        <v>0</v>
      </c>
      <c r="AP13" s="712">
        <f>SUM(+$AL13+$AI13+$AF13+$AC13+$Z13+$W13+$T13+$Q13+$N13+$K13+$H13+$E13)</f>
        <v>0</v>
      </c>
      <c r="AQ13" s="713">
        <f>+AP13/'État des Résultats'!$AP$14</f>
        <v>0</v>
      </c>
    </row>
    <row r="14" spans="2:56" x14ac:dyDescent="0.15">
      <c r="B14" s="746">
        <v>7404</v>
      </c>
      <c r="C14" s="432" t="s">
        <v>266</v>
      </c>
      <c r="E14" s="714">
        <v>0</v>
      </c>
      <c r="F14" s="711">
        <f>E14/'État des Résultats'!$E$14</f>
        <v>0</v>
      </c>
      <c r="H14" s="714">
        <v>0</v>
      </c>
      <c r="I14" s="711">
        <f>H14/'État des Résultats'!$E$14</f>
        <v>0</v>
      </c>
      <c r="K14" s="714">
        <v>0</v>
      </c>
      <c r="L14" s="711">
        <f>K14/'État des Résultats'!$E$14</f>
        <v>0</v>
      </c>
      <c r="N14" s="714">
        <v>0</v>
      </c>
      <c r="O14" s="711">
        <f>N14/'État des Résultats'!$E$14</f>
        <v>0</v>
      </c>
      <c r="Q14" s="714">
        <v>0</v>
      </c>
      <c r="R14" s="711">
        <f>Q14/'État des Résultats'!$E$14</f>
        <v>0</v>
      </c>
      <c r="T14" s="714">
        <v>0</v>
      </c>
      <c r="U14" s="711">
        <f>T14/'État des Résultats'!$E$14</f>
        <v>0</v>
      </c>
      <c r="W14" s="714">
        <v>0</v>
      </c>
      <c r="X14" s="711">
        <f>W14/'État des Résultats'!$E$14</f>
        <v>0</v>
      </c>
      <c r="Z14" s="714">
        <v>0</v>
      </c>
      <c r="AA14" s="711">
        <f>Z14/'État des Résultats'!$E$14</f>
        <v>0</v>
      </c>
      <c r="AC14" s="714">
        <v>0</v>
      </c>
      <c r="AD14" s="711">
        <f>AC14/'État des Résultats'!$E$14</f>
        <v>0</v>
      </c>
      <c r="AF14" s="714">
        <v>0</v>
      </c>
      <c r="AG14" s="711">
        <f>AF14/'État des Résultats'!$E$14</f>
        <v>0</v>
      </c>
      <c r="AI14" s="714">
        <v>0</v>
      </c>
      <c r="AJ14" s="711">
        <f>AI14/'État des Résultats'!$E$14</f>
        <v>0</v>
      </c>
      <c r="AL14" s="714">
        <v>0</v>
      </c>
      <c r="AM14" s="711">
        <f>AL14/'État des Résultats'!$E$14</f>
        <v>0</v>
      </c>
      <c r="AP14" s="712">
        <f>SUM(+$AL14+$AI14+$AF14+$AC14+$Z14+$W14+$T14+$Q14+$N14+$K14+$H14+$E14)</f>
        <v>0</v>
      </c>
      <c r="AQ14" s="713">
        <f>+AP14/'État des Résultats'!$AP$14</f>
        <v>0</v>
      </c>
    </row>
    <row r="15" spans="2:56" x14ac:dyDescent="0.15">
      <c r="B15" s="709">
        <v>7406</v>
      </c>
      <c r="C15" s="394" t="s">
        <v>267</v>
      </c>
      <c r="E15" s="710">
        <v>0</v>
      </c>
      <c r="F15" s="711">
        <f>E15/'État des Résultats'!$E$14</f>
        <v>0</v>
      </c>
      <c r="G15" s="716" t="s">
        <v>2</v>
      </c>
      <c r="H15" s="710">
        <v>0</v>
      </c>
      <c r="I15" s="711">
        <f>H15/'État des Résultats'!$E$14</f>
        <v>0</v>
      </c>
      <c r="K15" s="710">
        <v>0</v>
      </c>
      <c r="L15" s="711">
        <f>K15/'État des Résultats'!$E$14</f>
        <v>0</v>
      </c>
      <c r="N15" s="710">
        <v>0</v>
      </c>
      <c r="O15" s="711">
        <f>N15/'État des Résultats'!$E$14</f>
        <v>0</v>
      </c>
      <c r="Q15" s="710">
        <v>0</v>
      </c>
      <c r="R15" s="711">
        <f>Q15/'État des Résultats'!$E$14</f>
        <v>0</v>
      </c>
      <c r="T15" s="710">
        <v>0</v>
      </c>
      <c r="U15" s="711">
        <f>T15/'État des Résultats'!$E$14</f>
        <v>0</v>
      </c>
      <c r="W15" s="710">
        <v>0</v>
      </c>
      <c r="X15" s="711">
        <f>W15/'État des Résultats'!$E$14</f>
        <v>0</v>
      </c>
      <c r="Z15" s="710">
        <v>0</v>
      </c>
      <c r="AA15" s="711">
        <f>Z15/'État des Résultats'!$E$14</f>
        <v>0</v>
      </c>
      <c r="AC15" s="710">
        <v>0</v>
      </c>
      <c r="AD15" s="711">
        <f>AC15/'État des Résultats'!$E$14</f>
        <v>0</v>
      </c>
      <c r="AF15" s="710">
        <v>0</v>
      </c>
      <c r="AG15" s="711">
        <f>AF15/'État des Résultats'!$E$14</f>
        <v>0</v>
      </c>
      <c r="AI15" s="710">
        <v>0</v>
      </c>
      <c r="AJ15" s="711">
        <f>AI15/'État des Résultats'!$E$14</f>
        <v>0</v>
      </c>
      <c r="AL15" s="710">
        <v>0</v>
      </c>
      <c r="AM15" s="711">
        <f>AL15/'État des Résultats'!$E$14</f>
        <v>0</v>
      </c>
      <c r="AP15" s="712">
        <f t="shared" ref="AP15:AP32" si="0">SUM(+$AL15+$AI15+$AF15+$AC15+$Z15+$W15+$T15+$Q15+$N15+$K15+$H15+$E15)</f>
        <v>0</v>
      </c>
      <c r="AQ15" s="713">
        <f>+AP15/'État des Résultats'!$AP$14</f>
        <v>0</v>
      </c>
    </row>
    <row r="16" spans="2:56" x14ac:dyDescent="0.15">
      <c r="B16" s="709">
        <v>7408</v>
      </c>
      <c r="C16" s="394" t="s">
        <v>268</v>
      </c>
      <c r="E16" s="710">
        <v>0</v>
      </c>
      <c r="F16" s="711">
        <f>E16/'État des Résultats'!$E$14</f>
        <v>0</v>
      </c>
      <c r="H16" s="710">
        <v>0</v>
      </c>
      <c r="I16" s="711">
        <f>H16/'État des Résultats'!$E$14</f>
        <v>0</v>
      </c>
      <c r="K16" s="710">
        <v>0</v>
      </c>
      <c r="L16" s="711">
        <f>K16/'État des Résultats'!$E$14</f>
        <v>0</v>
      </c>
      <c r="N16" s="710">
        <v>0</v>
      </c>
      <c r="O16" s="711">
        <f>N16/'État des Résultats'!$E$14</f>
        <v>0</v>
      </c>
      <c r="Q16" s="710">
        <v>0</v>
      </c>
      <c r="R16" s="711">
        <f>Q16/'État des Résultats'!$E$14</f>
        <v>0</v>
      </c>
      <c r="T16" s="710">
        <v>0</v>
      </c>
      <c r="U16" s="711">
        <f>T16/'État des Résultats'!$E$14</f>
        <v>0</v>
      </c>
      <c r="W16" s="710">
        <v>0</v>
      </c>
      <c r="X16" s="711">
        <f>W16/'État des Résultats'!$E$14</f>
        <v>0</v>
      </c>
      <c r="Z16" s="710">
        <v>0</v>
      </c>
      <c r="AA16" s="711">
        <f>Z16/'État des Résultats'!$E$14</f>
        <v>0</v>
      </c>
      <c r="AC16" s="710">
        <v>0</v>
      </c>
      <c r="AD16" s="711">
        <f>AC16/'État des Résultats'!$E$14</f>
        <v>0</v>
      </c>
      <c r="AF16" s="710">
        <v>0</v>
      </c>
      <c r="AG16" s="711">
        <f>AF16/'État des Résultats'!$E$14</f>
        <v>0</v>
      </c>
      <c r="AI16" s="710">
        <v>0</v>
      </c>
      <c r="AJ16" s="711">
        <f>AI16/'État des Résultats'!$E$14</f>
        <v>0</v>
      </c>
      <c r="AL16" s="710">
        <v>0</v>
      </c>
      <c r="AM16" s="711">
        <f>AL16/'État des Résultats'!$E$14</f>
        <v>0</v>
      </c>
      <c r="AP16" s="712">
        <f t="shared" si="0"/>
        <v>0</v>
      </c>
      <c r="AQ16" s="713">
        <f>+AP16/'État des Résultats'!$AP$14</f>
        <v>0</v>
      </c>
    </row>
    <row r="17" spans="2:45" x14ac:dyDescent="0.15">
      <c r="B17" s="709">
        <v>7410</v>
      </c>
      <c r="C17" s="394" t="s">
        <v>269</v>
      </c>
      <c r="E17" s="710">
        <v>0</v>
      </c>
      <c r="F17" s="711">
        <f>E17/'État des Résultats'!$E$14</f>
        <v>0</v>
      </c>
      <c r="H17" s="710">
        <v>0</v>
      </c>
      <c r="I17" s="711">
        <f>H17/'État des Résultats'!$E$14</f>
        <v>0</v>
      </c>
      <c r="K17" s="710">
        <v>0</v>
      </c>
      <c r="L17" s="711">
        <f>K17/'État des Résultats'!$E$14</f>
        <v>0</v>
      </c>
      <c r="N17" s="710">
        <v>0</v>
      </c>
      <c r="O17" s="711">
        <f>N17/'État des Résultats'!$E$14</f>
        <v>0</v>
      </c>
      <c r="Q17" s="710">
        <v>0</v>
      </c>
      <c r="R17" s="711">
        <f>Q17/'État des Résultats'!$E$14</f>
        <v>0</v>
      </c>
      <c r="T17" s="710">
        <v>0</v>
      </c>
      <c r="U17" s="711">
        <f>T17/'État des Résultats'!$E$14</f>
        <v>0</v>
      </c>
      <c r="W17" s="710">
        <v>0</v>
      </c>
      <c r="X17" s="711">
        <f>W17/'État des Résultats'!$E$14</f>
        <v>0</v>
      </c>
      <c r="Z17" s="710">
        <v>0</v>
      </c>
      <c r="AA17" s="711">
        <f>Z17/'État des Résultats'!$E$14</f>
        <v>0</v>
      </c>
      <c r="AC17" s="710">
        <v>0</v>
      </c>
      <c r="AD17" s="711">
        <f>AC17/'État des Résultats'!$E$14</f>
        <v>0</v>
      </c>
      <c r="AF17" s="710">
        <v>0</v>
      </c>
      <c r="AG17" s="711">
        <f>AF17/'État des Résultats'!$E$14</f>
        <v>0</v>
      </c>
      <c r="AI17" s="710">
        <v>0</v>
      </c>
      <c r="AJ17" s="711">
        <f>AI17/'État des Résultats'!$E$14</f>
        <v>0</v>
      </c>
      <c r="AL17" s="710">
        <v>0</v>
      </c>
      <c r="AM17" s="711">
        <f>AL17/'État des Résultats'!$E$14</f>
        <v>0</v>
      </c>
      <c r="AP17" s="712">
        <f t="shared" si="0"/>
        <v>0</v>
      </c>
      <c r="AQ17" s="713">
        <f>+AP17/'État des Résultats'!$AP$14</f>
        <v>0</v>
      </c>
    </row>
    <row r="18" spans="2:45" x14ac:dyDescent="0.15">
      <c r="B18" s="709">
        <v>7412</v>
      </c>
      <c r="C18" s="394" t="s">
        <v>270</v>
      </c>
      <c r="E18" s="710">
        <v>0</v>
      </c>
      <c r="F18" s="711">
        <f>E18/'État des Résultats'!$E$14</f>
        <v>0</v>
      </c>
      <c r="H18" s="710">
        <v>0</v>
      </c>
      <c r="I18" s="711">
        <f>H18/'État des Résultats'!$E$14</f>
        <v>0</v>
      </c>
      <c r="K18" s="710">
        <v>0</v>
      </c>
      <c r="L18" s="711">
        <f>K18/'État des Résultats'!$E$14</f>
        <v>0</v>
      </c>
      <c r="N18" s="710">
        <v>0</v>
      </c>
      <c r="O18" s="711">
        <f>N18/'État des Résultats'!$E$14</f>
        <v>0</v>
      </c>
      <c r="Q18" s="710">
        <v>0</v>
      </c>
      <c r="R18" s="711">
        <f>Q18/'État des Résultats'!$E$14</f>
        <v>0</v>
      </c>
      <c r="T18" s="710">
        <v>0</v>
      </c>
      <c r="U18" s="711">
        <f>T18/'État des Résultats'!$E$14</f>
        <v>0</v>
      </c>
      <c r="W18" s="710">
        <v>0</v>
      </c>
      <c r="X18" s="711">
        <f>W18/'État des Résultats'!$E$14</f>
        <v>0</v>
      </c>
      <c r="Z18" s="710">
        <v>0</v>
      </c>
      <c r="AA18" s="711">
        <f>Z18/'État des Résultats'!$E$14</f>
        <v>0</v>
      </c>
      <c r="AC18" s="710">
        <v>0</v>
      </c>
      <c r="AD18" s="711">
        <f>AC18/'État des Résultats'!$E$14</f>
        <v>0</v>
      </c>
      <c r="AF18" s="710">
        <v>0</v>
      </c>
      <c r="AG18" s="711">
        <f>AF18/'État des Résultats'!$E$14</f>
        <v>0</v>
      </c>
      <c r="AI18" s="710">
        <v>0</v>
      </c>
      <c r="AJ18" s="711">
        <f>AI18/'État des Résultats'!$E$14</f>
        <v>0</v>
      </c>
      <c r="AL18" s="710">
        <v>0</v>
      </c>
      <c r="AM18" s="711">
        <f>AL18/'État des Résultats'!$E$14</f>
        <v>0</v>
      </c>
      <c r="AP18" s="712">
        <f t="shared" si="0"/>
        <v>0</v>
      </c>
      <c r="AQ18" s="713">
        <f>+AP18/'État des Résultats'!$AP$14</f>
        <v>0</v>
      </c>
      <c r="AS18" s="210"/>
    </row>
    <row r="19" spans="2:45" x14ac:dyDescent="0.15">
      <c r="B19" s="709">
        <v>7414</v>
      </c>
      <c r="C19" s="394" t="s">
        <v>271</v>
      </c>
      <c r="E19" s="710">
        <v>0</v>
      </c>
      <c r="F19" s="711">
        <f>E19/'État des Résultats'!$E$14</f>
        <v>0</v>
      </c>
      <c r="H19" s="710">
        <v>0</v>
      </c>
      <c r="I19" s="711">
        <f>H19/'État des Résultats'!$E$14</f>
        <v>0</v>
      </c>
      <c r="K19" s="710">
        <v>0</v>
      </c>
      <c r="L19" s="711">
        <f>K19/'État des Résultats'!$E$14</f>
        <v>0</v>
      </c>
      <c r="N19" s="710">
        <v>0</v>
      </c>
      <c r="O19" s="711">
        <f>N19/'État des Résultats'!$E$14</f>
        <v>0</v>
      </c>
      <c r="Q19" s="710">
        <v>0</v>
      </c>
      <c r="R19" s="711">
        <f>Q19/'État des Résultats'!$E$14</f>
        <v>0</v>
      </c>
      <c r="T19" s="710">
        <v>0</v>
      </c>
      <c r="U19" s="711">
        <f>T19/'État des Résultats'!$E$14</f>
        <v>0</v>
      </c>
      <c r="W19" s="710">
        <v>0</v>
      </c>
      <c r="X19" s="711">
        <f>W19/'État des Résultats'!$E$14</f>
        <v>0</v>
      </c>
      <c r="Z19" s="710">
        <v>0</v>
      </c>
      <c r="AA19" s="711">
        <f>Z19/'État des Résultats'!$E$14</f>
        <v>0</v>
      </c>
      <c r="AC19" s="710">
        <v>0</v>
      </c>
      <c r="AD19" s="711">
        <f>AC19/'État des Résultats'!$E$14</f>
        <v>0</v>
      </c>
      <c r="AF19" s="710">
        <v>0</v>
      </c>
      <c r="AG19" s="711">
        <f>AF19/'État des Résultats'!$E$14</f>
        <v>0</v>
      </c>
      <c r="AI19" s="710">
        <v>0</v>
      </c>
      <c r="AJ19" s="711">
        <f>AI19/'État des Résultats'!$E$14</f>
        <v>0</v>
      </c>
      <c r="AL19" s="710">
        <v>0</v>
      </c>
      <c r="AM19" s="711">
        <f>AL19/'État des Résultats'!$E$14</f>
        <v>0</v>
      </c>
      <c r="AP19" s="712">
        <f t="shared" si="0"/>
        <v>0</v>
      </c>
      <c r="AQ19" s="713">
        <f>+AP19/'État des Résultats'!$AP$14</f>
        <v>0</v>
      </c>
    </row>
    <row r="20" spans="2:45" x14ac:dyDescent="0.15">
      <c r="B20" s="709">
        <v>7416</v>
      </c>
      <c r="C20" s="394" t="s">
        <v>272</v>
      </c>
      <c r="E20" s="710">
        <v>0</v>
      </c>
      <c r="F20" s="711">
        <f>E20/'État des Résultats'!$E$14</f>
        <v>0</v>
      </c>
      <c r="H20" s="710">
        <v>0</v>
      </c>
      <c r="I20" s="711">
        <f>H20/'État des Résultats'!$E$14</f>
        <v>0</v>
      </c>
      <c r="K20" s="710">
        <v>0</v>
      </c>
      <c r="L20" s="711">
        <f>K20/'État des Résultats'!$E$14</f>
        <v>0</v>
      </c>
      <c r="N20" s="710">
        <v>0</v>
      </c>
      <c r="O20" s="711">
        <f>N20/'État des Résultats'!$E$14</f>
        <v>0</v>
      </c>
      <c r="Q20" s="710">
        <v>0</v>
      </c>
      <c r="R20" s="711">
        <f>Q20/'État des Résultats'!$E$14</f>
        <v>0</v>
      </c>
      <c r="T20" s="710">
        <v>0</v>
      </c>
      <c r="U20" s="711">
        <f>T20/'État des Résultats'!$E$14</f>
        <v>0</v>
      </c>
      <c r="W20" s="710">
        <v>0</v>
      </c>
      <c r="X20" s="711">
        <f>W20/'État des Résultats'!$E$14</f>
        <v>0</v>
      </c>
      <c r="Z20" s="710">
        <v>0</v>
      </c>
      <c r="AA20" s="711">
        <f>Z20/'État des Résultats'!$E$14</f>
        <v>0</v>
      </c>
      <c r="AC20" s="710">
        <v>0</v>
      </c>
      <c r="AD20" s="711">
        <f>AC20/'État des Résultats'!$E$14</f>
        <v>0</v>
      </c>
      <c r="AF20" s="710">
        <v>0</v>
      </c>
      <c r="AG20" s="711">
        <f>AF20/'État des Résultats'!$E$14</f>
        <v>0</v>
      </c>
      <c r="AI20" s="710">
        <v>0</v>
      </c>
      <c r="AJ20" s="711">
        <f>AI20/'État des Résultats'!$E$14</f>
        <v>0</v>
      </c>
      <c r="AL20" s="710">
        <v>0</v>
      </c>
      <c r="AM20" s="711">
        <f>AL20/'État des Résultats'!$E$14</f>
        <v>0</v>
      </c>
      <c r="AP20" s="712">
        <f t="shared" si="0"/>
        <v>0</v>
      </c>
      <c r="AQ20" s="713">
        <f>+AP20/'État des Résultats'!$AP$14</f>
        <v>0</v>
      </c>
    </row>
    <row r="21" spans="2:45" x14ac:dyDescent="0.15">
      <c r="B21" s="746">
        <v>7418</v>
      </c>
      <c r="C21" s="432" t="s">
        <v>273</v>
      </c>
      <c r="E21" s="710">
        <v>0</v>
      </c>
      <c r="F21" s="711">
        <f>E21/'État des Résultats'!$E$14</f>
        <v>0</v>
      </c>
      <c r="H21" s="710">
        <v>0</v>
      </c>
      <c r="I21" s="711">
        <f>H21/'État des Résultats'!$E$14</f>
        <v>0</v>
      </c>
      <c r="K21" s="710">
        <v>0</v>
      </c>
      <c r="L21" s="711">
        <f>K21/'État des Résultats'!$E$14</f>
        <v>0</v>
      </c>
      <c r="N21" s="710">
        <v>0</v>
      </c>
      <c r="O21" s="711">
        <f>N21/'État des Résultats'!$E$14</f>
        <v>0</v>
      </c>
      <c r="Q21" s="710">
        <v>0</v>
      </c>
      <c r="R21" s="711">
        <f>Q21/'État des Résultats'!$E$14</f>
        <v>0</v>
      </c>
      <c r="T21" s="710">
        <v>0</v>
      </c>
      <c r="U21" s="711">
        <f>T21/'État des Résultats'!$E$14</f>
        <v>0</v>
      </c>
      <c r="W21" s="710">
        <v>0</v>
      </c>
      <c r="X21" s="711">
        <f>W21/'État des Résultats'!$E$14</f>
        <v>0</v>
      </c>
      <c r="Z21" s="710">
        <v>0</v>
      </c>
      <c r="AA21" s="711">
        <f>Z21/'État des Résultats'!$E$14</f>
        <v>0</v>
      </c>
      <c r="AC21" s="710">
        <v>0</v>
      </c>
      <c r="AD21" s="711">
        <f>AC21/'État des Résultats'!$E$14</f>
        <v>0</v>
      </c>
      <c r="AF21" s="710">
        <v>0</v>
      </c>
      <c r="AG21" s="711">
        <f>AF21/'État des Résultats'!$E$14</f>
        <v>0</v>
      </c>
      <c r="AI21" s="710">
        <v>0</v>
      </c>
      <c r="AJ21" s="711">
        <f>AI21/'État des Résultats'!$E$14</f>
        <v>0</v>
      </c>
      <c r="AL21" s="710">
        <v>0</v>
      </c>
      <c r="AM21" s="711">
        <f>AL21/'État des Résultats'!$E$14</f>
        <v>0</v>
      </c>
      <c r="AP21" s="712">
        <f t="shared" si="0"/>
        <v>0</v>
      </c>
      <c r="AQ21" s="713">
        <f>+AP21/'État des Résultats'!$AP$14</f>
        <v>0</v>
      </c>
    </row>
    <row r="22" spans="2:45" x14ac:dyDescent="0.15">
      <c r="B22" s="709">
        <v>7420</v>
      </c>
      <c r="C22" s="394" t="s">
        <v>274</v>
      </c>
      <c r="E22" s="710">
        <v>0</v>
      </c>
      <c r="F22" s="711">
        <f>E22/'État des Résultats'!$E$14</f>
        <v>0</v>
      </c>
      <c r="H22" s="710">
        <v>0</v>
      </c>
      <c r="I22" s="711">
        <f>H22/'État des Résultats'!$E$14</f>
        <v>0</v>
      </c>
      <c r="K22" s="710">
        <v>0</v>
      </c>
      <c r="L22" s="711">
        <f>K22/'État des Résultats'!$E$14</f>
        <v>0</v>
      </c>
      <c r="N22" s="710">
        <v>0</v>
      </c>
      <c r="O22" s="711">
        <f>N22/'État des Résultats'!$E$14</f>
        <v>0</v>
      </c>
      <c r="Q22" s="710">
        <v>0</v>
      </c>
      <c r="R22" s="711">
        <f>Q22/'État des Résultats'!$E$14</f>
        <v>0</v>
      </c>
      <c r="T22" s="710">
        <v>0</v>
      </c>
      <c r="U22" s="711">
        <f>T22/'État des Résultats'!$E$14</f>
        <v>0</v>
      </c>
      <c r="W22" s="710">
        <v>0</v>
      </c>
      <c r="X22" s="711">
        <f>W22/'État des Résultats'!$E$14</f>
        <v>0</v>
      </c>
      <c r="Z22" s="710">
        <v>0</v>
      </c>
      <c r="AA22" s="711">
        <f>Z22/'État des Résultats'!$E$14</f>
        <v>0</v>
      </c>
      <c r="AC22" s="710">
        <v>0</v>
      </c>
      <c r="AD22" s="711">
        <f>AC22/'État des Résultats'!$E$14</f>
        <v>0</v>
      </c>
      <c r="AF22" s="710">
        <v>0</v>
      </c>
      <c r="AG22" s="711">
        <f>AF22/'État des Résultats'!$E$14</f>
        <v>0</v>
      </c>
      <c r="AI22" s="710">
        <v>0</v>
      </c>
      <c r="AJ22" s="711">
        <f>AI22/'État des Résultats'!$E$14</f>
        <v>0</v>
      </c>
      <c r="AL22" s="710">
        <v>0</v>
      </c>
      <c r="AM22" s="711">
        <f>AL22/'État des Résultats'!$E$14</f>
        <v>0</v>
      </c>
      <c r="AP22" s="712">
        <f t="shared" si="0"/>
        <v>0</v>
      </c>
      <c r="AQ22" s="713">
        <f>+AP22/'État des Résultats'!$AP$14</f>
        <v>0</v>
      </c>
    </row>
    <row r="23" spans="2:45" x14ac:dyDescent="0.15">
      <c r="B23" s="746">
        <v>7422</v>
      </c>
      <c r="C23" s="432" t="s">
        <v>275</v>
      </c>
      <c r="E23" s="710">
        <v>0</v>
      </c>
      <c r="F23" s="711">
        <f>E23/'État des Résultats'!$E$14</f>
        <v>0</v>
      </c>
      <c r="H23" s="710">
        <v>0</v>
      </c>
      <c r="I23" s="711">
        <f>H23/'État des Résultats'!$E$14</f>
        <v>0</v>
      </c>
      <c r="K23" s="710">
        <v>0</v>
      </c>
      <c r="L23" s="711">
        <f>K23/'État des Résultats'!$E$14</f>
        <v>0</v>
      </c>
      <c r="N23" s="710">
        <v>0</v>
      </c>
      <c r="O23" s="711">
        <f>N23/'État des Résultats'!$E$14</f>
        <v>0</v>
      </c>
      <c r="Q23" s="710">
        <v>0</v>
      </c>
      <c r="R23" s="711">
        <f>Q23/'État des Résultats'!$E$14</f>
        <v>0</v>
      </c>
      <c r="T23" s="710">
        <v>0</v>
      </c>
      <c r="U23" s="711">
        <f>T23/'État des Résultats'!$E$14</f>
        <v>0</v>
      </c>
      <c r="W23" s="710">
        <v>0</v>
      </c>
      <c r="X23" s="711">
        <f>W23/'État des Résultats'!$E$14</f>
        <v>0</v>
      </c>
      <c r="Z23" s="710">
        <v>0</v>
      </c>
      <c r="AA23" s="711">
        <f>Z23/'État des Résultats'!$E$14</f>
        <v>0</v>
      </c>
      <c r="AC23" s="710">
        <v>0</v>
      </c>
      <c r="AD23" s="711">
        <f>AC23/'État des Résultats'!$E$14</f>
        <v>0</v>
      </c>
      <c r="AF23" s="710">
        <v>0</v>
      </c>
      <c r="AG23" s="711">
        <f>AF23/'État des Résultats'!$E$14</f>
        <v>0</v>
      </c>
      <c r="AI23" s="710">
        <v>0</v>
      </c>
      <c r="AJ23" s="711">
        <f>AI23/'État des Résultats'!$E$14</f>
        <v>0</v>
      </c>
      <c r="AL23" s="710">
        <v>0</v>
      </c>
      <c r="AM23" s="711">
        <f>AL23/'État des Résultats'!$E$14</f>
        <v>0</v>
      </c>
      <c r="AP23" s="712">
        <f t="shared" si="0"/>
        <v>0</v>
      </c>
      <c r="AQ23" s="713">
        <f>+AP23/'État des Résultats'!$AP$14</f>
        <v>0</v>
      </c>
    </row>
    <row r="24" spans="2:45" x14ac:dyDescent="0.15">
      <c r="B24" s="709">
        <v>7424</v>
      </c>
      <c r="C24" s="394" t="s">
        <v>276</v>
      </c>
      <c r="E24" s="710">
        <v>0</v>
      </c>
      <c r="F24" s="711">
        <f>E24/'État des Résultats'!$E$14</f>
        <v>0</v>
      </c>
      <c r="H24" s="710">
        <v>0</v>
      </c>
      <c r="I24" s="711">
        <f>H24/'État des Résultats'!$E$14</f>
        <v>0</v>
      </c>
      <c r="K24" s="710">
        <v>0</v>
      </c>
      <c r="L24" s="711">
        <f>K24/'État des Résultats'!$E$14</f>
        <v>0</v>
      </c>
      <c r="N24" s="710">
        <v>0</v>
      </c>
      <c r="O24" s="711">
        <f>N24/'État des Résultats'!$E$14</f>
        <v>0</v>
      </c>
      <c r="Q24" s="710">
        <v>0</v>
      </c>
      <c r="R24" s="711">
        <f>Q24/'État des Résultats'!$E$14</f>
        <v>0</v>
      </c>
      <c r="T24" s="710">
        <v>0</v>
      </c>
      <c r="U24" s="711">
        <f>T24/'État des Résultats'!$E$14</f>
        <v>0</v>
      </c>
      <c r="W24" s="710">
        <v>0</v>
      </c>
      <c r="X24" s="711">
        <f>W24/'État des Résultats'!$E$14</f>
        <v>0</v>
      </c>
      <c r="Z24" s="710">
        <v>0</v>
      </c>
      <c r="AA24" s="711">
        <f>Z24/'État des Résultats'!$E$14</f>
        <v>0</v>
      </c>
      <c r="AC24" s="710">
        <v>0</v>
      </c>
      <c r="AD24" s="711">
        <f>AC24/'État des Résultats'!$E$14</f>
        <v>0</v>
      </c>
      <c r="AF24" s="710">
        <v>0</v>
      </c>
      <c r="AG24" s="711">
        <f>AF24/'État des Résultats'!$E$14</f>
        <v>0</v>
      </c>
      <c r="AI24" s="710">
        <v>0</v>
      </c>
      <c r="AJ24" s="711">
        <f>AI24/'État des Résultats'!$E$14</f>
        <v>0</v>
      </c>
      <c r="AL24" s="710">
        <v>0</v>
      </c>
      <c r="AM24" s="711">
        <f>AL24/'État des Résultats'!$E$14</f>
        <v>0</v>
      </c>
      <c r="AP24" s="712">
        <f t="shared" si="0"/>
        <v>0</v>
      </c>
      <c r="AQ24" s="713">
        <f>+AP24/'État des Résultats'!$AP$14</f>
        <v>0</v>
      </c>
    </row>
    <row r="25" spans="2:45" x14ac:dyDescent="0.15">
      <c r="B25" s="709">
        <v>7426</v>
      </c>
      <c r="C25" s="394" t="s">
        <v>277</v>
      </c>
      <c r="E25" s="710">
        <v>0</v>
      </c>
      <c r="F25" s="711">
        <f>E25/'État des Résultats'!$E$14</f>
        <v>0</v>
      </c>
      <c r="H25" s="710">
        <v>0</v>
      </c>
      <c r="I25" s="711">
        <f>H25/'État des Résultats'!$E$14</f>
        <v>0</v>
      </c>
      <c r="K25" s="710">
        <v>0</v>
      </c>
      <c r="L25" s="711">
        <f>K25/'État des Résultats'!$E$14</f>
        <v>0</v>
      </c>
      <c r="N25" s="710">
        <v>0</v>
      </c>
      <c r="O25" s="711">
        <f>N25/'État des Résultats'!$E$14</f>
        <v>0</v>
      </c>
      <c r="Q25" s="710">
        <v>0</v>
      </c>
      <c r="R25" s="711">
        <f>Q25/'État des Résultats'!$E$14</f>
        <v>0</v>
      </c>
      <c r="T25" s="710">
        <v>0</v>
      </c>
      <c r="U25" s="711">
        <f>T25/'État des Résultats'!$E$14</f>
        <v>0</v>
      </c>
      <c r="W25" s="710">
        <v>0</v>
      </c>
      <c r="X25" s="711">
        <f>W25/'État des Résultats'!$E$14</f>
        <v>0</v>
      </c>
      <c r="Z25" s="710">
        <v>0</v>
      </c>
      <c r="AA25" s="711">
        <f>Z25/'État des Résultats'!$E$14</f>
        <v>0</v>
      </c>
      <c r="AC25" s="710">
        <v>0</v>
      </c>
      <c r="AD25" s="711">
        <f>AC25/'État des Résultats'!$E$14</f>
        <v>0</v>
      </c>
      <c r="AF25" s="710">
        <v>0</v>
      </c>
      <c r="AG25" s="711">
        <f>AF25/'État des Résultats'!$E$14</f>
        <v>0</v>
      </c>
      <c r="AI25" s="710">
        <v>0</v>
      </c>
      <c r="AJ25" s="711">
        <f>AI25/'État des Résultats'!$E$14</f>
        <v>0</v>
      </c>
      <c r="AL25" s="710">
        <v>0</v>
      </c>
      <c r="AM25" s="711">
        <f>AL25/'État des Résultats'!$E$14</f>
        <v>0</v>
      </c>
      <c r="AP25" s="712">
        <f t="shared" si="0"/>
        <v>0</v>
      </c>
      <c r="AQ25" s="713">
        <f>+AP25/'État des Résultats'!$AP$14</f>
        <v>0</v>
      </c>
    </row>
    <row r="26" spans="2:45" x14ac:dyDescent="0.15">
      <c r="B26" s="746">
        <v>7428</v>
      </c>
      <c r="C26" s="432" t="s">
        <v>278</v>
      </c>
      <c r="E26" s="710">
        <v>0</v>
      </c>
      <c r="F26" s="711">
        <f>E26/'État des Résultats'!$E$14</f>
        <v>0</v>
      </c>
      <c r="H26" s="710">
        <v>0</v>
      </c>
      <c r="I26" s="711">
        <f>H26/'État des Résultats'!$E$14</f>
        <v>0</v>
      </c>
      <c r="K26" s="710">
        <v>0</v>
      </c>
      <c r="L26" s="711">
        <f>K26/'État des Résultats'!$E$14</f>
        <v>0</v>
      </c>
      <c r="N26" s="710">
        <v>0</v>
      </c>
      <c r="O26" s="711">
        <f>N26/'État des Résultats'!$E$14</f>
        <v>0</v>
      </c>
      <c r="Q26" s="710">
        <v>0</v>
      </c>
      <c r="R26" s="711">
        <f>Q26/'État des Résultats'!$E$14</f>
        <v>0</v>
      </c>
      <c r="T26" s="710">
        <v>0</v>
      </c>
      <c r="U26" s="711">
        <f>T26/'État des Résultats'!$E$14</f>
        <v>0</v>
      </c>
      <c r="W26" s="710">
        <v>0</v>
      </c>
      <c r="X26" s="711">
        <f>W26/'État des Résultats'!$E$14</f>
        <v>0</v>
      </c>
      <c r="Z26" s="710">
        <v>0</v>
      </c>
      <c r="AA26" s="711">
        <f>Z26/'État des Résultats'!$E$14</f>
        <v>0</v>
      </c>
      <c r="AC26" s="710">
        <v>0</v>
      </c>
      <c r="AD26" s="711">
        <f>AC26/'État des Résultats'!$E$14</f>
        <v>0</v>
      </c>
      <c r="AF26" s="710">
        <v>0</v>
      </c>
      <c r="AG26" s="711">
        <f>AF26/'État des Résultats'!$E$14</f>
        <v>0</v>
      </c>
      <c r="AI26" s="710">
        <v>0</v>
      </c>
      <c r="AJ26" s="711">
        <f>AI26/'État des Résultats'!$E$14</f>
        <v>0</v>
      </c>
      <c r="AL26" s="710">
        <v>0</v>
      </c>
      <c r="AM26" s="711">
        <f>AL26/'État des Résultats'!$E$14</f>
        <v>0</v>
      </c>
      <c r="AP26" s="712">
        <f t="shared" si="0"/>
        <v>0</v>
      </c>
      <c r="AQ26" s="713">
        <f>+AP26/'État des Résultats'!$AP$14</f>
        <v>0</v>
      </c>
    </row>
    <row r="27" spans="2:45" x14ac:dyDescent="0.15">
      <c r="B27" s="709">
        <v>7430</v>
      </c>
      <c r="C27" s="394" t="s">
        <v>279</v>
      </c>
      <c r="E27" s="710">
        <v>0</v>
      </c>
      <c r="F27" s="711">
        <f>E27/'État des Résultats'!$E$14</f>
        <v>0</v>
      </c>
      <c r="H27" s="710">
        <v>0</v>
      </c>
      <c r="I27" s="711">
        <f>H27/'État des Résultats'!$E$14</f>
        <v>0</v>
      </c>
      <c r="K27" s="710">
        <v>0</v>
      </c>
      <c r="L27" s="711">
        <f>K27/'État des Résultats'!$E$14</f>
        <v>0</v>
      </c>
      <c r="N27" s="710">
        <v>0</v>
      </c>
      <c r="O27" s="711">
        <f>N27/'État des Résultats'!$E$14</f>
        <v>0</v>
      </c>
      <c r="Q27" s="710">
        <v>0</v>
      </c>
      <c r="R27" s="711">
        <f>Q27/'État des Résultats'!$E$14</f>
        <v>0</v>
      </c>
      <c r="T27" s="710">
        <v>0</v>
      </c>
      <c r="U27" s="711">
        <f>T27/'État des Résultats'!$E$14</f>
        <v>0</v>
      </c>
      <c r="W27" s="710">
        <v>0</v>
      </c>
      <c r="X27" s="711">
        <f>W27/'État des Résultats'!$E$14</f>
        <v>0</v>
      </c>
      <c r="Z27" s="710">
        <v>0</v>
      </c>
      <c r="AA27" s="711">
        <f>Z27/'État des Résultats'!$E$14</f>
        <v>0</v>
      </c>
      <c r="AC27" s="710">
        <v>0</v>
      </c>
      <c r="AD27" s="711">
        <f>AC27/'État des Résultats'!$E$14</f>
        <v>0</v>
      </c>
      <c r="AF27" s="710">
        <v>0</v>
      </c>
      <c r="AG27" s="711">
        <f>AF27/'État des Résultats'!$E$14</f>
        <v>0</v>
      </c>
      <c r="AI27" s="710">
        <v>0</v>
      </c>
      <c r="AJ27" s="711">
        <f>AI27/'État des Résultats'!$E$14</f>
        <v>0</v>
      </c>
      <c r="AL27" s="710">
        <v>0</v>
      </c>
      <c r="AM27" s="711">
        <f>AL27/'État des Résultats'!$E$14</f>
        <v>0</v>
      </c>
      <c r="AP27" s="712">
        <f t="shared" si="0"/>
        <v>0</v>
      </c>
      <c r="AQ27" s="713">
        <f>+AP27/'État des Résultats'!$AP$14</f>
        <v>0</v>
      </c>
    </row>
    <row r="28" spans="2:45" x14ac:dyDescent="0.15">
      <c r="B28" s="709">
        <v>7432</v>
      </c>
      <c r="C28" s="394" t="s">
        <v>280</v>
      </c>
      <c r="E28" s="710">
        <v>0</v>
      </c>
      <c r="F28" s="711">
        <f>E28/'État des Résultats'!$E$14</f>
        <v>0</v>
      </c>
      <c r="H28" s="710">
        <v>0</v>
      </c>
      <c r="I28" s="711">
        <f>H28/'État des Résultats'!$E$14</f>
        <v>0</v>
      </c>
      <c r="K28" s="710">
        <v>0</v>
      </c>
      <c r="L28" s="711">
        <f>K28/'État des Résultats'!$E$14</f>
        <v>0</v>
      </c>
      <c r="N28" s="710">
        <v>0</v>
      </c>
      <c r="O28" s="711">
        <f>N28/'État des Résultats'!$E$14</f>
        <v>0</v>
      </c>
      <c r="Q28" s="710">
        <v>0</v>
      </c>
      <c r="R28" s="711">
        <f>Q28/'État des Résultats'!$E$14</f>
        <v>0</v>
      </c>
      <c r="T28" s="710">
        <v>0</v>
      </c>
      <c r="U28" s="711">
        <f>T28/'État des Résultats'!$E$14</f>
        <v>0</v>
      </c>
      <c r="W28" s="710">
        <v>0</v>
      </c>
      <c r="X28" s="711">
        <f>W28/'État des Résultats'!$E$14</f>
        <v>0</v>
      </c>
      <c r="Z28" s="710">
        <v>0</v>
      </c>
      <c r="AA28" s="711">
        <f>Z28/'État des Résultats'!$E$14</f>
        <v>0</v>
      </c>
      <c r="AC28" s="710">
        <v>0</v>
      </c>
      <c r="AD28" s="711">
        <f>AC28/'État des Résultats'!$E$14</f>
        <v>0</v>
      </c>
      <c r="AF28" s="710">
        <v>0</v>
      </c>
      <c r="AG28" s="711">
        <f>AF28/'État des Résultats'!$E$14</f>
        <v>0</v>
      </c>
      <c r="AI28" s="710">
        <v>0</v>
      </c>
      <c r="AJ28" s="711">
        <f>AI28/'État des Résultats'!$E$14</f>
        <v>0</v>
      </c>
      <c r="AL28" s="710">
        <v>0</v>
      </c>
      <c r="AM28" s="711">
        <f>AL28/'État des Résultats'!$E$14</f>
        <v>0</v>
      </c>
      <c r="AP28" s="712">
        <f t="shared" si="0"/>
        <v>0</v>
      </c>
      <c r="AQ28" s="713">
        <f>+AP28/'État des Résultats'!$AP$14</f>
        <v>0</v>
      </c>
    </row>
    <row r="29" spans="2:45" x14ac:dyDescent="0.15">
      <c r="B29" s="709">
        <v>7436</v>
      </c>
      <c r="C29" s="394" t="s">
        <v>281</v>
      </c>
      <c r="E29" s="710">
        <v>0</v>
      </c>
      <c r="F29" s="711">
        <f>E29/'État des Résultats'!$E$14</f>
        <v>0</v>
      </c>
      <c r="H29" s="710">
        <v>0</v>
      </c>
      <c r="I29" s="711">
        <f>H29/'État des Résultats'!$E$14</f>
        <v>0</v>
      </c>
      <c r="K29" s="710">
        <v>0</v>
      </c>
      <c r="L29" s="711">
        <f>K29/'État des Résultats'!$E$14</f>
        <v>0</v>
      </c>
      <c r="N29" s="710">
        <v>0</v>
      </c>
      <c r="O29" s="711">
        <f>N29/'État des Résultats'!$E$14</f>
        <v>0</v>
      </c>
      <c r="Q29" s="710">
        <v>0</v>
      </c>
      <c r="R29" s="711">
        <f>Q29/'État des Résultats'!$E$14</f>
        <v>0</v>
      </c>
      <c r="T29" s="710">
        <v>0</v>
      </c>
      <c r="U29" s="711">
        <f>T29/'État des Résultats'!$E$14</f>
        <v>0</v>
      </c>
      <c r="W29" s="710">
        <v>0</v>
      </c>
      <c r="X29" s="711">
        <f>W29/'État des Résultats'!$E$14</f>
        <v>0</v>
      </c>
      <c r="Z29" s="710">
        <v>0</v>
      </c>
      <c r="AA29" s="711">
        <f>Z29/'État des Résultats'!$E$14</f>
        <v>0</v>
      </c>
      <c r="AC29" s="710">
        <v>0</v>
      </c>
      <c r="AD29" s="711">
        <f>AC29/'État des Résultats'!$E$14</f>
        <v>0</v>
      </c>
      <c r="AF29" s="710">
        <v>0</v>
      </c>
      <c r="AG29" s="711">
        <f>AF29/'État des Résultats'!$E$14</f>
        <v>0</v>
      </c>
      <c r="AI29" s="710">
        <v>0</v>
      </c>
      <c r="AJ29" s="711">
        <f>AI29/'État des Résultats'!$E$14</f>
        <v>0</v>
      </c>
      <c r="AL29" s="710">
        <v>0</v>
      </c>
      <c r="AM29" s="711">
        <f>AL29/'État des Résultats'!$E$14</f>
        <v>0</v>
      </c>
      <c r="AP29" s="712">
        <f t="shared" si="0"/>
        <v>0</v>
      </c>
      <c r="AQ29" s="713">
        <f>+AP29/'État des Résultats'!$AP$14</f>
        <v>0</v>
      </c>
    </row>
    <row r="30" spans="2:45" x14ac:dyDescent="0.15">
      <c r="B30" s="746">
        <v>7438</v>
      </c>
      <c r="C30" s="432" t="s">
        <v>282</v>
      </c>
      <c r="E30" s="710">
        <v>0</v>
      </c>
      <c r="F30" s="711">
        <f>E30/'État des Résultats'!$E$14</f>
        <v>0</v>
      </c>
      <c r="H30" s="710">
        <v>0</v>
      </c>
      <c r="I30" s="711">
        <f>H30/'État des Résultats'!$E$14</f>
        <v>0</v>
      </c>
      <c r="K30" s="710">
        <v>0</v>
      </c>
      <c r="L30" s="711">
        <f>K30/'État des Résultats'!$E$14</f>
        <v>0</v>
      </c>
      <c r="N30" s="710">
        <v>0</v>
      </c>
      <c r="O30" s="711">
        <f>N30/'État des Résultats'!$E$14</f>
        <v>0</v>
      </c>
      <c r="Q30" s="710">
        <v>0</v>
      </c>
      <c r="R30" s="711">
        <f>Q30/'État des Résultats'!$E$14</f>
        <v>0</v>
      </c>
      <c r="T30" s="710">
        <v>0</v>
      </c>
      <c r="U30" s="711">
        <f>T30/'État des Résultats'!$E$14</f>
        <v>0</v>
      </c>
      <c r="W30" s="710">
        <v>0</v>
      </c>
      <c r="X30" s="711">
        <f>W30/'État des Résultats'!$E$14</f>
        <v>0</v>
      </c>
      <c r="Z30" s="710">
        <v>0</v>
      </c>
      <c r="AA30" s="711">
        <f>Z30/'État des Résultats'!$E$14</f>
        <v>0</v>
      </c>
      <c r="AC30" s="710">
        <v>0</v>
      </c>
      <c r="AD30" s="711">
        <f>AC30/'État des Résultats'!$E$14</f>
        <v>0</v>
      </c>
      <c r="AF30" s="710">
        <v>0</v>
      </c>
      <c r="AG30" s="711">
        <f>AF30/'État des Résultats'!$E$14</f>
        <v>0</v>
      </c>
      <c r="AI30" s="710">
        <v>0</v>
      </c>
      <c r="AJ30" s="711">
        <f>AI30/'État des Résultats'!$E$14</f>
        <v>0</v>
      </c>
      <c r="AL30" s="710">
        <v>0</v>
      </c>
      <c r="AM30" s="711">
        <f>AL30/'État des Résultats'!$E$14</f>
        <v>0</v>
      </c>
      <c r="AP30" s="712">
        <f t="shared" si="0"/>
        <v>0</v>
      </c>
      <c r="AQ30" s="713">
        <f>+AP30/'État des Résultats'!$AP$14</f>
        <v>0</v>
      </c>
    </row>
    <row r="31" spans="2:45" x14ac:dyDescent="0.15">
      <c r="B31" s="709">
        <v>7440</v>
      </c>
      <c r="C31" s="394" t="s">
        <v>283</v>
      </c>
      <c r="E31" s="710">
        <v>0</v>
      </c>
      <c r="F31" s="711">
        <f>E31/'État des Résultats'!$E$14</f>
        <v>0</v>
      </c>
      <c r="H31" s="710">
        <v>0</v>
      </c>
      <c r="I31" s="711">
        <f>H31/'État des Résultats'!$E$14</f>
        <v>0</v>
      </c>
      <c r="K31" s="710">
        <v>0</v>
      </c>
      <c r="L31" s="711">
        <f>K31/'État des Résultats'!$E$14</f>
        <v>0</v>
      </c>
      <c r="N31" s="710">
        <v>0</v>
      </c>
      <c r="O31" s="711">
        <f>N31/'État des Résultats'!$E$14</f>
        <v>0</v>
      </c>
      <c r="Q31" s="710">
        <v>0</v>
      </c>
      <c r="R31" s="711">
        <f>Q31/'État des Résultats'!$E$14</f>
        <v>0</v>
      </c>
      <c r="T31" s="710">
        <v>0</v>
      </c>
      <c r="U31" s="711">
        <f>T31/'État des Résultats'!$E$14</f>
        <v>0</v>
      </c>
      <c r="W31" s="710">
        <v>0</v>
      </c>
      <c r="X31" s="711">
        <f>W31/'État des Résultats'!$E$14</f>
        <v>0</v>
      </c>
      <c r="Z31" s="710">
        <v>0</v>
      </c>
      <c r="AA31" s="711">
        <f>Z31/'État des Résultats'!$E$14</f>
        <v>0</v>
      </c>
      <c r="AC31" s="710">
        <v>0</v>
      </c>
      <c r="AD31" s="711">
        <f>AC31/'État des Résultats'!$E$14</f>
        <v>0</v>
      </c>
      <c r="AF31" s="710">
        <v>0</v>
      </c>
      <c r="AG31" s="711">
        <f>AF31/'État des Résultats'!$E$14</f>
        <v>0</v>
      </c>
      <c r="AI31" s="710">
        <v>0</v>
      </c>
      <c r="AJ31" s="711">
        <f>AI31/'État des Résultats'!$E$14</f>
        <v>0</v>
      </c>
      <c r="AL31" s="710">
        <v>0</v>
      </c>
      <c r="AM31" s="711">
        <f>AL31/'État des Résultats'!$E$14</f>
        <v>0</v>
      </c>
      <c r="AP31" s="712">
        <f t="shared" si="0"/>
        <v>0</v>
      </c>
      <c r="AQ31" s="713">
        <f>+AP31/'État des Résultats'!$AP$14</f>
        <v>0</v>
      </c>
    </row>
    <row r="32" spans="2:45" x14ac:dyDescent="0.15">
      <c r="B32" s="709">
        <v>7499</v>
      </c>
      <c r="C32" s="394" t="s">
        <v>284</v>
      </c>
      <c r="E32" s="710">
        <v>2000</v>
      </c>
      <c r="F32" s="711">
        <f>E32/'État des Résultats'!$E$14</f>
        <v>5.221230043479793E-2</v>
      </c>
      <c r="H32" s="710">
        <v>2000</v>
      </c>
      <c r="I32" s="711">
        <f>H32/'État des Résultats'!$E$14</f>
        <v>5.221230043479793E-2</v>
      </c>
      <c r="K32" s="710">
        <v>2000</v>
      </c>
      <c r="L32" s="711">
        <f>K32/'État des Résultats'!$E$14</f>
        <v>5.221230043479793E-2</v>
      </c>
      <c r="N32" s="710">
        <v>2000</v>
      </c>
      <c r="O32" s="711">
        <f>N32/'État des Résultats'!$E$14</f>
        <v>5.221230043479793E-2</v>
      </c>
      <c r="Q32" s="710">
        <v>2000</v>
      </c>
      <c r="R32" s="711">
        <f>Q32/'État des Résultats'!$E$14</f>
        <v>5.221230043479793E-2</v>
      </c>
      <c r="T32" s="710">
        <v>2000</v>
      </c>
      <c r="U32" s="711">
        <f>T32/'État des Résultats'!$E$14</f>
        <v>5.221230043479793E-2</v>
      </c>
      <c r="W32" s="710">
        <v>2000</v>
      </c>
      <c r="X32" s="711">
        <f>W32/'État des Résultats'!$E$14</f>
        <v>5.221230043479793E-2</v>
      </c>
      <c r="Z32" s="710">
        <v>2000</v>
      </c>
      <c r="AA32" s="711">
        <f>Z32/'État des Résultats'!$E$14</f>
        <v>5.221230043479793E-2</v>
      </c>
      <c r="AC32" s="710">
        <v>2000</v>
      </c>
      <c r="AD32" s="711">
        <f>AC32/'État des Résultats'!$E$14</f>
        <v>5.221230043479793E-2</v>
      </c>
      <c r="AF32" s="710">
        <v>2000</v>
      </c>
      <c r="AG32" s="711">
        <f>AF32/'État des Résultats'!$E$14</f>
        <v>5.221230043479793E-2</v>
      </c>
      <c r="AI32" s="710">
        <v>2000</v>
      </c>
      <c r="AJ32" s="711">
        <f>AI32/'État des Résultats'!$E$14</f>
        <v>5.221230043479793E-2</v>
      </c>
      <c r="AL32" s="710">
        <v>2000</v>
      </c>
      <c r="AM32" s="711">
        <f>AL32/'État des Résultats'!$E$14</f>
        <v>5.221230043479793E-2</v>
      </c>
      <c r="AP32" s="712">
        <f t="shared" si="0"/>
        <v>24000</v>
      </c>
      <c r="AQ32" s="713">
        <f>+AP32/'État des Résultats'!$AP$14</f>
        <v>4.245459182895045E-2</v>
      </c>
    </row>
    <row r="33" spans="2:69" ht="14" thickBot="1" x14ac:dyDescent="0.2">
      <c r="B33" s="749"/>
      <c r="C33" s="750"/>
      <c r="D33" s="741"/>
      <c r="E33" s="714"/>
      <c r="F33" s="747"/>
      <c r="G33" s="741"/>
      <c r="H33" s="714"/>
      <c r="I33" s="747"/>
      <c r="J33" s="741"/>
      <c r="K33" s="714"/>
      <c r="L33" s="747"/>
      <c r="M33" s="741"/>
      <c r="N33" s="714"/>
      <c r="O33" s="747"/>
      <c r="P33" s="741"/>
      <c r="Q33" s="714"/>
      <c r="R33" s="747"/>
      <c r="S33" s="741"/>
      <c r="T33" s="714"/>
      <c r="U33" s="747"/>
      <c r="V33" s="741"/>
      <c r="W33" s="714"/>
      <c r="X33" s="747"/>
      <c r="Y33" s="741"/>
      <c r="Z33" s="714"/>
      <c r="AA33" s="747"/>
      <c r="AB33" s="741"/>
      <c r="AC33" s="714"/>
      <c r="AD33" s="747"/>
      <c r="AE33" s="741"/>
      <c r="AF33" s="714"/>
      <c r="AG33" s="747"/>
      <c r="AH33" s="741"/>
      <c r="AI33" s="714"/>
      <c r="AJ33" s="747"/>
      <c r="AK33" s="741"/>
      <c r="AL33" s="714"/>
      <c r="AM33" s="747"/>
      <c r="AN33" s="741"/>
      <c r="AO33" s="741"/>
      <c r="AP33" s="712"/>
      <c r="AQ33" s="748"/>
      <c r="AR33" s="741"/>
      <c r="AS33" s="741"/>
      <c r="AT33" s="741"/>
      <c r="AU33" s="741"/>
      <c r="AV33" s="741"/>
      <c r="AW33" s="741"/>
      <c r="AX33" s="741"/>
      <c r="AY33" s="741"/>
    </row>
    <row r="34" spans="2:69" ht="15" thickTop="1" thickBot="1" x14ac:dyDescent="0.2">
      <c r="B34" s="499">
        <v>7400</v>
      </c>
      <c r="C34" s="500" t="s">
        <v>285</v>
      </c>
      <c r="D34" s="214"/>
      <c r="E34" s="719">
        <f>SUM(E13:E32)</f>
        <v>2000</v>
      </c>
      <c r="F34" s="720">
        <f>SUM(F13:F32)</f>
        <v>5.221230043479793E-2</v>
      </c>
      <c r="G34" s="214"/>
      <c r="H34" s="719">
        <f>SUM(H13:H32)</f>
        <v>2000</v>
      </c>
      <c r="I34" s="720">
        <f>SUM(I13:I32)</f>
        <v>5.221230043479793E-2</v>
      </c>
      <c r="J34" s="214"/>
      <c r="K34" s="719">
        <f>SUM(K13:K32)</f>
        <v>2000</v>
      </c>
      <c r="L34" s="720">
        <f>SUM(L13:L32)</f>
        <v>5.221230043479793E-2</v>
      </c>
      <c r="M34" s="214"/>
      <c r="N34" s="719">
        <f>SUM(N13:N32)</f>
        <v>2000</v>
      </c>
      <c r="O34" s="720">
        <f>SUM(O13:O32)</f>
        <v>5.221230043479793E-2</v>
      </c>
      <c r="P34" s="214"/>
      <c r="Q34" s="719">
        <f>SUM(Q13:Q32)</f>
        <v>2000</v>
      </c>
      <c r="R34" s="720">
        <f>SUM(R13:R32)</f>
        <v>5.221230043479793E-2</v>
      </c>
      <c r="S34" s="214"/>
      <c r="T34" s="719">
        <f>SUM(T13:T32)</f>
        <v>2000</v>
      </c>
      <c r="U34" s="720">
        <f>SUM(U13:U32)</f>
        <v>5.221230043479793E-2</v>
      </c>
      <c r="V34" s="214"/>
      <c r="W34" s="719">
        <f>SUM(W13:W32)</f>
        <v>2000</v>
      </c>
      <c r="X34" s="720">
        <f>SUM(X13:X32)</f>
        <v>5.221230043479793E-2</v>
      </c>
      <c r="Y34" s="214"/>
      <c r="Z34" s="719">
        <f>SUM(Z13:Z32)</f>
        <v>2000</v>
      </c>
      <c r="AA34" s="720">
        <f>SUM(AA13:AA32)</f>
        <v>5.221230043479793E-2</v>
      </c>
      <c r="AB34" s="214"/>
      <c r="AC34" s="719">
        <f>SUM(AC13:AC32)</f>
        <v>2000</v>
      </c>
      <c r="AD34" s="720">
        <f>SUM(AD13:AD32)</f>
        <v>5.221230043479793E-2</v>
      </c>
      <c r="AE34" s="214"/>
      <c r="AF34" s="719">
        <f>SUM(AF13:AF32)</f>
        <v>2000</v>
      </c>
      <c r="AG34" s="720">
        <f>SUM(AG13:AG32)</f>
        <v>5.221230043479793E-2</v>
      </c>
      <c r="AH34" s="214"/>
      <c r="AI34" s="719">
        <f>SUM(AI13:AI32)</f>
        <v>2000</v>
      </c>
      <c r="AJ34" s="720">
        <f>SUM(AJ13:AJ32)</f>
        <v>5.221230043479793E-2</v>
      </c>
      <c r="AK34" s="214"/>
      <c r="AL34" s="719">
        <f>SUM(AL13:AL32)</f>
        <v>2000</v>
      </c>
      <c r="AM34" s="720">
        <f>SUM(AM13:AM32)</f>
        <v>5.221230043479793E-2</v>
      </c>
      <c r="AN34" s="214"/>
      <c r="AO34" s="214"/>
      <c r="AP34" s="719">
        <f>SUM(AP13:AP32)</f>
        <v>24000</v>
      </c>
      <c r="AQ34" s="720">
        <f>SUM(AQ13:AQ32)</f>
        <v>4.245459182895045E-2</v>
      </c>
      <c r="AR34" s="214"/>
      <c r="AS34" s="214"/>
      <c r="AT34" s="214"/>
      <c r="AU34" s="252"/>
    </row>
    <row r="35" spans="2:69" ht="14" thickTop="1" x14ac:dyDescent="0.15">
      <c r="L35" s="316"/>
      <c r="O35" s="316"/>
      <c r="R35" s="316"/>
      <c r="U35" s="316"/>
      <c r="X35" s="316"/>
      <c r="AA35" s="316"/>
      <c r="AD35" s="316"/>
      <c r="AG35" s="316"/>
      <c r="AJ35" s="316"/>
      <c r="AM35" s="316"/>
      <c r="AQ35" s="316"/>
    </row>
    <row r="36" spans="2:69" x14ac:dyDescent="0.15">
      <c r="R36" s="316"/>
      <c r="U36" s="316"/>
      <c r="X36" s="316"/>
      <c r="AD36" s="316"/>
      <c r="AG36" s="316"/>
      <c r="AJ36" s="316"/>
      <c r="AM36" s="316"/>
    </row>
    <row r="37" spans="2:69" x14ac:dyDescent="0.15">
      <c r="U37" s="316"/>
      <c r="AG37" s="316"/>
      <c r="AJ37" s="316"/>
      <c r="AM37" s="316"/>
    </row>
    <row r="38" spans="2:69" x14ac:dyDescent="0.15">
      <c r="C38" s="161" t="s">
        <v>2</v>
      </c>
      <c r="E38" s="161" t="s">
        <v>2</v>
      </c>
      <c r="G38" s="161" t="s">
        <v>2</v>
      </c>
      <c r="H38" s="161" t="s">
        <v>2</v>
      </c>
      <c r="U38" s="316"/>
      <c r="AG38" s="316"/>
      <c r="AJ38" s="316"/>
      <c r="AM38" s="316"/>
    </row>
    <row r="39" spans="2:69" x14ac:dyDescent="0.15">
      <c r="H39" s="161" t="s">
        <v>2</v>
      </c>
      <c r="AG39" s="316"/>
      <c r="AJ39" s="316"/>
      <c r="AM39" s="316"/>
    </row>
    <row r="40" spans="2:69" x14ac:dyDescent="0.15">
      <c r="H40" s="161" t="s">
        <v>2</v>
      </c>
      <c r="AM40" s="316"/>
    </row>
    <row r="41" spans="2:69" x14ac:dyDescent="0.15">
      <c r="H41" s="161" t="s">
        <v>2</v>
      </c>
      <c r="BB41" s="170"/>
      <c r="BC41" s="170"/>
      <c r="BD41" s="170"/>
      <c r="BE41" s="170"/>
      <c r="BF41" s="170"/>
      <c r="BG41" s="170"/>
      <c r="BH41" s="170"/>
      <c r="BI41" s="170"/>
      <c r="BJ41" s="170"/>
      <c r="BK41" s="170"/>
      <c r="BL41" s="170"/>
      <c r="BM41" s="170"/>
      <c r="BN41" s="170"/>
      <c r="BO41" s="170"/>
      <c r="BP41" s="170"/>
      <c r="BQ41" s="170"/>
    </row>
    <row r="42" spans="2:69" x14ac:dyDescent="0.15">
      <c r="H42" s="161" t="s">
        <v>2</v>
      </c>
    </row>
    <row r="43" spans="2:69" x14ac:dyDescent="0.15">
      <c r="H43" s="161" t="s">
        <v>2</v>
      </c>
    </row>
    <row r="53" spans="8:8" x14ac:dyDescent="0.15">
      <c r="H53" s="722"/>
    </row>
  </sheetData>
  <sheetProtection algorithmName="SHA-512" hashValue="nD4MuqUnNjFflsJrzVowBnVhxQ4OeZjluGuIuZ6PcNupz2vB5TFUJQqb4B+1SM7lKop4pyBdjZzk2O+75U2x6Q==" saltValue="IfreX5lvF1rBW3u0AnSAhA=="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1D16042E-AFD4-DC41-BAB2-2A3F78E96027}"/>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4539-1901-724F-A92C-C69BFDD687E5}">
  <sheetPr>
    <tabColor theme="1"/>
    <pageSetUpPr fitToPage="1"/>
  </sheetPr>
  <dimension ref="B1:BQ43"/>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46.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832031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0" t="str">
        <f>'Coût marchandises vendues'!B2</f>
        <v xml:space="preserve">Entreprise de restauration alimentaire 12 inc. </v>
      </c>
      <c r="C2" s="941"/>
      <c r="AS2" s="898" t="s">
        <v>42</v>
      </c>
      <c r="AT2" s="369"/>
      <c r="AU2" s="369"/>
      <c r="AV2" s="369"/>
      <c r="AW2" s="369"/>
      <c r="AX2" s="369"/>
      <c r="AY2" s="369"/>
      <c r="AZ2" s="369"/>
      <c r="BA2" s="369"/>
      <c r="BB2" s="369"/>
      <c r="BC2" s="901" t="s">
        <v>43</v>
      </c>
    </row>
    <row r="3" spans="2:56" ht="20" customHeight="1" x14ac:dyDescent="0.2">
      <c r="B3" s="942" t="str">
        <f>'Coût marchandises vendues'!B3</f>
        <v xml:space="preserve">États des résultats prévisionnels </v>
      </c>
      <c r="C3" s="943"/>
      <c r="AS3" s="899"/>
      <c r="AT3" s="370"/>
      <c r="AU3" s="370"/>
      <c r="AV3" s="370"/>
      <c r="AW3" s="370"/>
      <c r="AX3" s="370"/>
      <c r="AY3" s="370"/>
      <c r="AZ3" s="370"/>
      <c r="BA3" s="370"/>
      <c r="BB3" s="370"/>
      <c r="BC3" s="902"/>
    </row>
    <row r="4" spans="2:56" ht="20" customHeight="1" thickBot="1" x14ac:dyDescent="0.3">
      <c r="B4" s="944" t="str">
        <f>'Coût marchandises vendues'!B4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51" t="str">
        <f>'État des Résultats'!C6</f>
        <v>Nb de places</v>
      </c>
      <c r="C6" s="952"/>
      <c r="E6" s="693" t="str">
        <f>'Coût d''occupation '!E6</f>
        <v>Coût / place / jour</v>
      </c>
      <c r="F6" s="694">
        <f>+E24/$B$7/31</f>
        <v>7.0322580645161295E-2</v>
      </c>
      <c r="G6" s="170"/>
      <c r="H6" s="693" t="str">
        <f>+E6</f>
        <v>Coût / place / jour</v>
      </c>
      <c r="I6" s="694">
        <f>+H24/$B$7/28</f>
        <v>7.7857142857142861E-2</v>
      </c>
      <c r="J6" s="170"/>
      <c r="K6" s="693" t="str">
        <f>+H6</f>
        <v>Coût / place / jour</v>
      </c>
      <c r="L6" s="694">
        <f>+K24/$B$7/31</f>
        <v>7.0322580645161295E-2</v>
      </c>
      <c r="M6" s="170"/>
      <c r="N6" s="693" t="str">
        <f>+K6</f>
        <v>Coût / place / jour</v>
      </c>
      <c r="O6" s="694">
        <f>+N24/$B$7/30</f>
        <v>7.2666666666666671E-2</v>
      </c>
      <c r="P6" s="436"/>
      <c r="Q6" s="693" t="str">
        <f>+N6</f>
        <v>Coût / place / jour</v>
      </c>
      <c r="R6" s="694">
        <f>+Q24/$B$7/31</f>
        <v>7.0322580645161295E-2</v>
      </c>
      <c r="S6" s="436"/>
      <c r="T6" s="693" t="str">
        <f>+Q6</f>
        <v>Coût / place / jour</v>
      </c>
      <c r="U6" s="694">
        <f>+T24/$B$7/30</f>
        <v>7.2666666666666671E-2</v>
      </c>
      <c r="V6" s="170"/>
      <c r="W6" s="693" t="str">
        <f>+T6</f>
        <v>Coût / place / jour</v>
      </c>
      <c r="X6" s="694">
        <f>+W24/$B$7/31</f>
        <v>7.0322580645161295E-2</v>
      </c>
      <c r="Y6" s="170"/>
      <c r="Z6" s="693" t="str">
        <f>+W6</f>
        <v>Coût / place / jour</v>
      </c>
      <c r="AA6" s="694">
        <f>+Z24/$B$7/31</f>
        <v>7.0322580645161295E-2</v>
      </c>
      <c r="AB6" s="170"/>
      <c r="AC6" s="693" t="str">
        <f>+Z6</f>
        <v>Coût / place / jour</v>
      </c>
      <c r="AD6" s="694">
        <f>+AC24/$B$7/30</f>
        <v>7.2666666666666671E-2</v>
      </c>
      <c r="AE6" s="170"/>
      <c r="AF6" s="693" t="str">
        <f>+AC6</f>
        <v>Coût / place / jour</v>
      </c>
      <c r="AG6" s="694">
        <f>+AF24/$B$7/31</f>
        <v>7.0322580645161295E-2</v>
      </c>
      <c r="AH6" s="170"/>
      <c r="AI6" s="693" t="str">
        <f>+AF6</f>
        <v>Coût / place / jour</v>
      </c>
      <c r="AJ6" s="694">
        <f>+AI24/$B$7/30</f>
        <v>7.2666666666666671E-2</v>
      </c>
      <c r="AK6" s="170"/>
      <c r="AL6" s="693" t="str">
        <f>+AI6</f>
        <v>Coût / place / jour</v>
      </c>
      <c r="AM6" s="694">
        <f>+AL24/$B$7/31</f>
        <v>7.0322580645161295E-2</v>
      </c>
      <c r="AN6" s="170"/>
      <c r="AO6" s="170"/>
      <c r="AP6" s="695" t="str">
        <f>+AL6</f>
        <v>Coût / place / jour</v>
      </c>
      <c r="AQ6" s="696">
        <f>+AP24/$B$7/365</f>
        <v>7.1671232876712329E-2</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53">
        <f>'État des Résultats'!C7</f>
        <v>50</v>
      </c>
      <c r="C7" s="954"/>
      <c r="E7" s="438">
        <f>+E24/$AP24</f>
        <v>8.3333333333333329E-2</v>
      </c>
      <c r="F7" s="697"/>
      <c r="H7" s="438">
        <f>+H24/$AP24</f>
        <v>8.3333333333333329E-2</v>
      </c>
      <c r="I7" s="697"/>
      <c r="K7" s="438">
        <f>+K24/$AP24</f>
        <v>8.3333333333333329E-2</v>
      </c>
      <c r="L7" s="439"/>
      <c r="N7" s="438">
        <f>+N24/$AP24</f>
        <v>8.3333333333333329E-2</v>
      </c>
      <c r="O7" s="439"/>
      <c r="P7" s="698"/>
      <c r="Q7" s="438">
        <f>+Q24/$AP24</f>
        <v>8.3333333333333329E-2</v>
      </c>
      <c r="R7" s="439"/>
      <c r="S7" s="698"/>
      <c r="T7" s="438">
        <f>+T24/$AP24</f>
        <v>8.3333333333333329E-2</v>
      </c>
      <c r="U7" s="439"/>
      <c r="W7" s="438">
        <f>+W24/$AP24</f>
        <v>8.3333333333333329E-2</v>
      </c>
      <c r="X7" s="439"/>
      <c r="Z7" s="438">
        <f>+Z24/$AP24</f>
        <v>8.3333333333333329E-2</v>
      </c>
      <c r="AA7" s="439"/>
      <c r="AC7" s="438">
        <f>+AC24/$AP24</f>
        <v>8.3333333333333329E-2</v>
      </c>
      <c r="AD7" s="439"/>
      <c r="AF7" s="438">
        <f>+AF24/$AP24</f>
        <v>8.3333333333333329E-2</v>
      </c>
      <c r="AG7" s="439"/>
      <c r="AI7" s="438">
        <f>+AI24/$AP24</f>
        <v>8.3333333333333329E-2</v>
      </c>
      <c r="AJ7" s="439"/>
      <c r="AL7" s="438">
        <f>+AL24/$AP24</f>
        <v>8.3333333333333329E-2</v>
      </c>
      <c r="AM7" s="439"/>
      <c r="AP7" s="699">
        <f>+AP24/$AP24</f>
        <v>1</v>
      </c>
      <c r="AQ7" s="700" t="s">
        <v>137</v>
      </c>
      <c r="AS7" s="899"/>
      <c r="AT7" s="684">
        <f>AP24</f>
        <v>1308</v>
      </c>
      <c r="AU7" s="371" t="s">
        <v>44</v>
      </c>
      <c r="AV7" s="685">
        <f>'Formule pour le calcul D'!G114</f>
        <v>22875</v>
      </c>
      <c r="AW7" s="371" t="s">
        <v>45</v>
      </c>
      <c r="AX7" s="371" t="s">
        <v>46</v>
      </c>
      <c r="AY7" s="686">
        <f>'Formule pour le calcul D'!J106</f>
        <v>2.2200000000000002</v>
      </c>
      <c r="AZ7" s="371" t="s">
        <v>45</v>
      </c>
      <c r="BA7" s="687">
        <f>AT7/AV7/AY7</f>
        <v>2.5756904445429035E-2</v>
      </c>
      <c r="BB7" s="371" t="s">
        <v>49</v>
      </c>
      <c r="BC7" s="902"/>
    </row>
    <row r="8" spans="2:56" ht="17" thickBot="1" x14ac:dyDescent="0.25">
      <c r="B8" s="955" t="s">
        <v>286</v>
      </c>
      <c r="C8" s="954"/>
      <c r="E8" s="702" t="str">
        <f>'État des Résultats'!E8</f>
        <v>Pér.01</v>
      </c>
      <c r="F8" s="701" t="s">
        <v>139</v>
      </c>
      <c r="G8" s="385"/>
      <c r="H8" s="702" t="str">
        <f>'État des Résultats'!H8</f>
        <v>Pér.02</v>
      </c>
      <c r="I8" s="701" t="s">
        <v>139</v>
      </c>
      <c r="J8" s="385"/>
      <c r="K8" s="702" t="str">
        <f>'État des Résultats'!K8</f>
        <v>Pér.03</v>
      </c>
      <c r="L8" s="701" t="s">
        <v>139</v>
      </c>
      <c r="M8" s="385"/>
      <c r="N8" s="702" t="str">
        <f>'État des Résultats'!N8</f>
        <v>Pér.04</v>
      </c>
      <c r="O8" s="701" t="s">
        <v>139</v>
      </c>
      <c r="P8" s="440"/>
      <c r="Q8" s="702" t="str">
        <f>'État des Résultats'!Q8</f>
        <v>Pér.05</v>
      </c>
      <c r="R8" s="701" t="s">
        <v>139</v>
      </c>
      <c r="S8" s="440"/>
      <c r="T8" s="702" t="str">
        <f>'État des Résultats'!T8</f>
        <v>Pér.06</v>
      </c>
      <c r="U8" s="701" t="s">
        <v>139</v>
      </c>
      <c r="V8" s="385"/>
      <c r="W8" s="702" t="str">
        <f>'État des Résultats'!W8</f>
        <v>Pér.07</v>
      </c>
      <c r="X8" s="701" t="s">
        <v>139</v>
      </c>
      <c r="Y8" s="385"/>
      <c r="Z8" s="702" t="str">
        <f>'État des Résultats'!Z8</f>
        <v>Pér.08</v>
      </c>
      <c r="AA8" s="701" t="s">
        <v>139</v>
      </c>
      <c r="AB8" s="385"/>
      <c r="AC8" s="702" t="str">
        <f>'État des Résultats'!AC8</f>
        <v>Pér.09</v>
      </c>
      <c r="AD8" s="701" t="s">
        <v>139</v>
      </c>
      <c r="AE8" s="385"/>
      <c r="AF8" s="702" t="str">
        <f>'État des Résultats'!AF8</f>
        <v>Pér.10</v>
      </c>
      <c r="AG8" s="701" t="s">
        <v>139</v>
      </c>
      <c r="AH8" s="385"/>
      <c r="AI8" s="702" t="str">
        <f>'État des Résultats'!AI8</f>
        <v>Pér.11</v>
      </c>
      <c r="AJ8" s="701" t="s">
        <v>139</v>
      </c>
      <c r="AK8" s="385"/>
      <c r="AL8" s="702" t="str">
        <f>'État des Résultats'!AL8</f>
        <v>Pér.12</v>
      </c>
      <c r="AM8" s="701" t="s">
        <v>139</v>
      </c>
      <c r="AN8" s="703" t="s">
        <v>2</v>
      </c>
      <c r="AO8" s="385"/>
      <c r="AP8" s="704" t="str">
        <f>'État des Résultats'!AP8</f>
        <v>Total</v>
      </c>
      <c r="AQ8" s="701" t="s">
        <v>139</v>
      </c>
      <c r="AS8" s="900"/>
      <c r="AT8" s="376"/>
      <c r="AU8" s="376"/>
      <c r="AV8" s="376"/>
      <c r="AW8" s="376"/>
      <c r="AX8" s="376"/>
      <c r="AY8" s="376"/>
      <c r="AZ8" s="376"/>
      <c r="BA8" s="376"/>
      <c r="BB8" s="376"/>
      <c r="BC8" s="903"/>
    </row>
    <row r="9" spans="2:56" ht="15" thickTop="1" thickBot="1" x14ac:dyDescent="0.2">
      <c r="B9" s="949">
        <f>AP24/$B$7</f>
        <v>26.16</v>
      </c>
      <c r="C9" s="950"/>
      <c r="E9" s="752" t="s">
        <v>287</v>
      </c>
      <c r="F9" s="753"/>
      <c r="G9" s="754"/>
      <c r="H9" s="755" t="s">
        <v>288</v>
      </c>
      <c r="I9" s="756"/>
      <c r="J9" s="757"/>
      <c r="K9" s="755" t="s">
        <v>289</v>
      </c>
      <c r="L9" s="756"/>
      <c r="M9" s="757"/>
      <c r="N9" s="752" t="s">
        <v>290</v>
      </c>
      <c r="O9" s="758"/>
      <c r="P9" s="759"/>
      <c r="Q9" s="752" t="s">
        <v>291</v>
      </c>
      <c r="R9" s="758"/>
      <c r="S9" s="759"/>
      <c r="T9" s="755" t="s">
        <v>292</v>
      </c>
      <c r="U9" s="756"/>
      <c r="V9" s="757"/>
      <c r="W9" s="755" t="s">
        <v>293</v>
      </c>
      <c r="X9" s="756"/>
      <c r="Y9" s="757"/>
      <c r="Z9" s="755" t="s">
        <v>294</v>
      </c>
      <c r="AA9" s="756"/>
      <c r="AB9" s="757"/>
      <c r="AC9" s="755" t="s">
        <v>295</v>
      </c>
      <c r="AD9" s="756"/>
      <c r="AE9" s="757"/>
      <c r="AF9" s="755" t="s">
        <v>296</v>
      </c>
      <c r="AG9" s="756"/>
      <c r="AH9" s="757"/>
      <c r="AI9" s="755" t="s">
        <v>297</v>
      </c>
      <c r="AJ9" s="756"/>
      <c r="AK9" s="757"/>
      <c r="AL9" s="755" t="s">
        <v>298</v>
      </c>
      <c r="AM9" s="756"/>
      <c r="AN9" s="757"/>
      <c r="AO9" s="757"/>
      <c r="AP9" s="760" t="s">
        <v>299</v>
      </c>
      <c r="AQ9" s="761"/>
      <c r="AR9" s="762"/>
      <c r="AS9" s="762"/>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4" thickTop="1" x14ac:dyDescent="0.15">
      <c r="B11" s="706"/>
      <c r="C11" s="774" t="s">
        <v>300</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09">
        <v>7505</v>
      </c>
      <c r="C13" s="394" t="s">
        <v>301</v>
      </c>
      <c r="E13" s="710">
        <v>1</v>
      </c>
      <c r="F13" s="711">
        <f t="shared" ref="F13:F22" si="0">E13/E$24</f>
        <v>9.1743119266055051E-3</v>
      </c>
      <c r="H13" s="763">
        <v>1</v>
      </c>
      <c r="I13" s="711">
        <f t="shared" ref="I13:I22" si="1">H13/H$24</f>
        <v>9.1743119266055051E-3</v>
      </c>
      <c r="K13" s="763">
        <v>1</v>
      </c>
      <c r="L13" s="711">
        <f t="shared" ref="L13:L22" si="2">K13/K$24</f>
        <v>9.1743119266055051E-3</v>
      </c>
      <c r="N13" s="763">
        <v>1</v>
      </c>
      <c r="O13" s="711">
        <f t="shared" ref="O13:O22" si="3">N13/N$24</f>
        <v>9.1743119266055051E-3</v>
      </c>
      <c r="Q13" s="763">
        <v>1</v>
      </c>
      <c r="R13" s="711">
        <f t="shared" ref="R13:R22" si="4">Q13/Q$24</f>
        <v>9.1743119266055051E-3</v>
      </c>
      <c r="T13" s="763">
        <v>1</v>
      </c>
      <c r="U13" s="711">
        <f t="shared" ref="U13:U22" si="5">T13/T$24</f>
        <v>9.1743119266055051E-3</v>
      </c>
      <c r="W13" s="763">
        <v>1</v>
      </c>
      <c r="X13" s="711">
        <f t="shared" ref="X13:X22" si="6">W13/W$24</f>
        <v>9.1743119266055051E-3</v>
      </c>
      <c r="Z13" s="763">
        <v>1</v>
      </c>
      <c r="AA13" s="711">
        <f t="shared" ref="AA13:AA22" si="7">Z13/Z$24</f>
        <v>9.1743119266055051E-3</v>
      </c>
      <c r="AC13" s="763">
        <v>1</v>
      </c>
      <c r="AD13" s="711">
        <f t="shared" ref="AD13:AD22" si="8">AC13/AC$24</f>
        <v>9.1743119266055051E-3</v>
      </c>
      <c r="AF13" s="763">
        <v>1</v>
      </c>
      <c r="AG13" s="711">
        <f t="shared" ref="AG13:AG22" si="9">AF13/AF$24</f>
        <v>9.1743119266055051E-3</v>
      </c>
      <c r="AI13" s="763">
        <v>1</v>
      </c>
      <c r="AJ13" s="711">
        <f t="shared" ref="AJ13:AJ22" si="10">AI13/AI$24</f>
        <v>9.1743119266055051E-3</v>
      </c>
      <c r="AL13" s="763">
        <v>1</v>
      </c>
      <c r="AM13" s="711">
        <f t="shared" ref="AM13:AM22" si="11">AL13/AL$24</f>
        <v>9.1743119266055051E-3</v>
      </c>
      <c r="AP13" s="712">
        <f>SUM(+$AL13+$AI13+$AF13+$AC13+$Z13+$W13+$T13+$Q13+$N13+$K13+$H13+$E13)</f>
        <v>12</v>
      </c>
      <c r="AQ13" s="713">
        <f t="shared" ref="AQ13:AQ22" si="12">AP13/AP$24</f>
        <v>9.1743119266055051E-3</v>
      </c>
    </row>
    <row r="14" spans="2:56" x14ac:dyDescent="0.15">
      <c r="B14" s="709">
        <v>7510</v>
      </c>
      <c r="C14" s="394" t="s">
        <v>302</v>
      </c>
      <c r="E14" s="714">
        <v>1</v>
      </c>
      <c r="F14" s="715">
        <f t="shared" si="0"/>
        <v>9.1743119266055051E-3</v>
      </c>
      <c r="H14" s="764">
        <v>1</v>
      </c>
      <c r="I14" s="715">
        <f t="shared" si="1"/>
        <v>9.1743119266055051E-3</v>
      </c>
      <c r="K14" s="764">
        <v>1</v>
      </c>
      <c r="L14" s="715">
        <f t="shared" si="2"/>
        <v>9.1743119266055051E-3</v>
      </c>
      <c r="N14" s="764">
        <v>1</v>
      </c>
      <c r="O14" s="715">
        <f t="shared" si="3"/>
        <v>9.1743119266055051E-3</v>
      </c>
      <c r="Q14" s="764">
        <v>1</v>
      </c>
      <c r="R14" s="715">
        <f t="shared" si="4"/>
        <v>9.1743119266055051E-3</v>
      </c>
      <c r="T14" s="764">
        <v>1</v>
      </c>
      <c r="U14" s="715">
        <f t="shared" si="5"/>
        <v>9.1743119266055051E-3</v>
      </c>
      <c r="W14" s="764">
        <v>1</v>
      </c>
      <c r="X14" s="715">
        <f t="shared" si="6"/>
        <v>9.1743119266055051E-3</v>
      </c>
      <c r="Z14" s="764">
        <v>1</v>
      </c>
      <c r="AA14" s="715">
        <f t="shared" si="7"/>
        <v>9.1743119266055051E-3</v>
      </c>
      <c r="AC14" s="764">
        <v>1</v>
      </c>
      <c r="AD14" s="715">
        <f t="shared" si="8"/>
        <v>9.1743119266055051E-3</v>
      </c>
      <c r="AF14" s="764">
        <v>1</v>
      </c>
      <c r="AG14" s="715">
        <f t="shared" si="9"/>
        <v>9.1743119266055051E-3</v>
      </c>
      <c r="AI14" s="764">
        <v>1</v>
      </c>
      <c r="AJ14" s="715">
        <f t="shared" si="10"/>
        <v>9.1743119266055051E-3</v>
      </c>
      <c r="AL14" s="764">
        <v>1</v>
      </c>
      <c r="AM14" s="715">
        <f t="shared" si="11"/>
        <v>9.1743119266055051E-3</v>
      </c>
      <c r="AP14" s="712">
        <f>SUM(+$AL14+$AI14+$AF14+$AC14+$Z14+$W14+$T14+$Q14+$N14+$K14+$H14+$E14)</f>
        <v>12</v>
      </c>
      <c r="AQ14" s="765">
        <f t="shared" si="12"/>
        <v>9.1743119266055051E-3</v>
      </c>
    </row>
    <row r="15" spans="2:56" x14ac:dyDescent="0.15">
      <c r="B15" s="709">
        <v>7520</v>
      </c>
      <c r="C15" s="394" t="s">
        <v>303</v>
      </c>
      <c r="E15" s="710">
        <v>100</v>
      </c>
      <c r="F15" s="715">
        <f t="shared" si="0"/>
        <v>0.91743119266055051</v>
      </c>
      <c r="G15" s="716" t="s">
        <v>2</v>
      </c>
      <c r="H15" s="763">
        <v>100</v>
      </c>
      <c r="I15" s="715">
        <f t="shared" si="1"/>
        <v>0.91743119266055051</v>
      </c>
      <c r="K15" s="763">
        <v>100</v>
      </c>
      <c r="L15" s="715">
        <f t="shared" si="2"/>
        <v>0.91743119266055051</v>
      </c>
      <c r="N15" s="763">
        <v>100</v>
      </c>
      <c r="O15" s="715">
        <f t="shared" si="3"/>
        <v>0.91743119266055051</v>
      </c>
      <c r="Q15" s="763">
        <v>100</v>
      </c>
      <c r="R15" s="715">
        <f t="shared" si="4"/>
        <v>0.91743119266055051</v>
      </c>
      <c r="T15" s="763">
        <v>100</v>
      </c>
      <c r="U15" s="715">
        <f t="shared" si="5"/>
        <v>0.91743119266055051</v>
      </c>
      <c r="W15" s="763">
        <v>100</v>
      </c>
      <c r="X15" s="715">
        <f t="shared" si="6"/>
        <v>0.91743119266055051</v>
      </c>
      <c r="Z15" s="763">
        <v>100</v>
      </c>
      <c r="AA15" s="715">
        <f t="shared" si="7"/>
        <v>0.91743119266055051</v>
      </c>
      <c r="AC15" s="763">
        <v>100</v>
      </c>
      <c r="AD15" s="715">
        <f t="shared" si="8"/>
        <v>0.91743119266055051</v>
      </c>
      <c r="AF15" s="763">
        <v>100</v>
      </c>
      <c r="AG15" s="715">
        <f t="shared" si="9"/>
        <v>0.91743119266055051</v>
      </c>
      <c r="AI15" s="763">
        <v>100</v>
      </c>
      <c r="AJ15" s="715">
        <f t="shared" si="10"/>
        <v>0.91743119266055051</v>
      </c>
      <c r="AL15" s="763">
        <v>100</v>
      </c>
      <c r="AM15" s="715">
        <f t="shared" si="11"/>
        <v>0.91743119266055051</v>
      </c>
      <c r="AP15" s="712">
        <f t="shared" ref="AP15:AP22" si="13">SUM(+$AL15+$AI15+$AF15+$AC15+$Z15+$W15+$T15+$Q15+$N15+$K15+$H15+$E15)</f>
        <v>1200</v>
      </c>
      <c r="AQ15" s="765">
        <f t="shared" si="12"/>
        <v>0.91743119266055051</v>
      </c>
    </row>
    <row r="16" spans="2:56" x14ac:dyDescent="0.15">
      <c r="B16" s="709">
        <v>7525</v>
      </c>
      <c r="C16" s="394" t="s">
        <v>304</v>
      </c>
      <c r="E16" s="710">
        <v>1</v>
      </c>
      <c r="F16" s="715">
        <f t="shared" si="0"/>
        <v>9.1743119266055051E-3</v>
      </c>
      <c r="H16" s="763">
        <v>1</v>
      </c>
      <c r="I16" s="715">
        <f t="shared" si="1"/>
        <v>9.1743119266055051E-3</v>
      </c>
      <c r="K16" s="763">
        <v>1</v>
      </c>
      <c r="L16" s="715">
        <f t="shared" si="2"/>
        <v>9.1743119266055051E-3</v>
      </c>
      <c r="N16" s="763">
        <v>1</v>
      </c>
      <c r="O16" s="715">
        <f t="shared" si="3"/>
        <v>9.1743119266055051E-3</v>
      </c>
      <c r="Q16" s="763">
        <v>1</v>
      </c>
      <c r="R16" s="715">
        <f t="shared" si="4"/>
        <v>9.1743119266055051E-3</v>
      </c>
      <c r="T16" s="763">
        <v>1</v>
      </c>
      <c r="U16" s="715">
        <f t="shared" si="5"/>
        <v>9.1743119266055051E-3</v>
      </c>
      <c r="W16" s="763">
        <v>1</v>
      </c>
      <c r="X16" s="715">
        <f t="shared" si="6"/>
        <v>9.1743119266055051E-3</v>
      </c>
      <c r="Z16" s="763">
        <v>1</v>
      </c>
      <c r="AA16" s="715">
        <f t="shared" si="7"/>
        <v>9.1743119266055051E-3</v>
      </c>
      <c r="AC16" s="763">
        <v>1</v>
      </c>
      <c r="AD16" s="715">
        <f t="shared" si="8"/>
        <v>9.1743119266055051E-3</v>
      </c>
      <c r="AF16" s="763">
        <v>1</v>
      </c>
      <c r="AG16" s="715">
        <f t="shared" si="9"/>
        <v>9.1743119266055051E-3</v>
      </c>
      <c r="AI16" s="763">
        <v>1</v>
      </c>
      <c r="AJ16" s="715">
        <f t="shared" si="10"/>
        <v>9.1743119266055051E-3</v>
      </c>
      <c r="AL16" s="763">
        <v>1</v>
      </c>
      <c r="AM16" s="715">
        <f t="shared" si="11"/>
        <v>9.1743119266055051E-3</v>
      </c>
      <c r="AP16" s="712">
        <f t="shared" si="13"/>
        <v>12</v>
      </c>
      <c r="AQ16" s="765">
        <f t="shared" si="12"/>
        <v>9.1743119266055051E-3</v>
      </c>
    </row>
    <row r="17" spans="2:69" x14ac:dyDescent="0.15">
      <c r="B17" s="709">
        <v>7530</v>
      </c>
      <c r="C17" s="394" t="s">
        <v>305</v>
      </c>
      <c r="E17" s="710">
        <v>1</v>
      </c>
      <c r="F17" s="715">
        <f t="shared" si="0"/>
        <v>9.1743119266055051E-3</v>
      </c>
      <c r="H17" s="763">
        <v>1</v>
      </c>
      <c r="I17" s="715">
        <f t="shared" si="1"/>
        <v>9.1743119266055051E-3</v>
      </c>
      <c r="K17" s="763">
        <v>1</v>
      </c>
      <c r="L17" s="715">
        <f t="shared" si="2"/>
        <v>9.1743119266055051E-3</v>
      </c>
      <c r="N17" s="763">
        <v>1</v>
      </c>
      <c r="O17" s="715">
        <f t="shared" si="3"/>
        <v>9.1743119266055051E-3</v>
      </c>
      <c r="Q17" s="763">
        <v>1</v>
      </c>
      <c r="R17" s="715">
        <f t="shared" si="4"/>
        <v>9.1743119266055051E-3</v>
      </c>
      <c r="T17" s="763">
        <v>1</v>
      </c>
      <c r="U17" s="715">
        <f t="shared" si="5"/>
        <v>9.1743119266055051E-3</v>
      </c>
      <c r="W17" s="763">
        <v>1</v>
      </c>
      <c r="X17" s="715">
        <f t="shared" si="6"/>
        <v>9.1743119266055051E-3</v>
      </c>
      <c r="Z17" s="763">
        <v>1</v>
      </c>
      <c r="AA17" s="715">
        <f t="shared" si="7"/>
        <v>9.1743119266055051E-3</v>
      </c>
      <c r="AC17" s="763">
        <v>1</v>
      </c>
      <c r="AD17" s="715">
        <f t="shared" si="8"/>
        <v>9.1743119266055051E-3</v>
      </c>
      <c r="AF17" s="763">
        <v>1</v>
      </c>
      <c r="AG17" s="715">
        <f t="shared" si="9"/>
        <v>9.1743119266055051E-3</v>
      </c>
      <c r="AI17" s="763">
        <v>1</v>
      </c>
      <c r="AJ17" s="715">
        <f t="shared" si="10"/>
        <v>9.1743119266055051E-3</v>
      </c>
      <c r="AL17" s="763">
        <v>1</v>
      </c>
      <c r="AM17" s="715">
        <f t="shared" si="11"/>
        <v>9.1743119266055051E-3</v>
      </c>
      <c r="AP17" s="712">
        <f t="shared" si="13"/>
        <v>12</v>
      </c>
      <c r="AQ17" s="765">
        <f t="shared" si="12"/>
        <v>9.1743119266055051E-3</v>
      </c>
    </row>
    <row r="18" spans="2:69" x14ac:dyDescent="0.15">
      <c r="B18" s="709">
        <v>7535</v>
      </c>
      <c r="C18" s="394" t="s">
        <v>306</v>
      </c>
      <c r="E18" s="710">
        <v>1</v>
      </c>
      <c r="F18" s="715">
        <f t="shared" si="0"/>
        <v>9.1743119266055051E-3</v>
      </c>
      <c r="H18" s="763">
        <v>1</v>
      </c>
      <c r="I18" s="715">
        <f t="shared" si="1"/>
        <v>9.1743119266055051E-3</v>
      </c>
      <c r="K18" s="763">
        <v>1</v>
      </c>
      <c r="L18" s="715">
        <f t="shared" si="2"/>
        <v>9.1743119266055051E-3</v>
      </c>
      <c r="N18" s="763">
        <v>1</v>
      </c>
      <c r="O18" s="715">
        <f t="shared" si="3"/>
        <v>9.1743119266055051E-3</v>
      </c>
      <c r="Q18" s="763">
        <v>1</v>
      </c>
      <c r="R18" s="715">
        <f t="shared" si="4"/>
        <v>9.1743119266055051E-3</v>
      </c>
      <c r="T18" s="763">
        <v>1</v>
      </c>
      <c r="U18" s="715">
        <f t="shared" si="5"/>
        <v>9.1743119266055051E-3</v>
      </c>
      <c r="W18" s="763">
        <v>1</v>
      </c>
      <c r="X18" s="715">
        <f t="shared" si="6"/>
        <v>9.1743119266055051E-3</v>
      </c>
      <c r="Z18" s="763">
        <v>1</v>
      </c>
      <c r="AA18" s="715">
        <f t="shared" si="7"/>
        <v>9.1743119266055051E-3</v>
      </c>
      <c r="AC18" s="763">
        <v>1</v>
      </c>
      <c r="AD18" s="715">
        <f t="shared" si="8"/>
        <v>9.1743119266055051E-3</v>
      </c>
      <c r="AF18" s="763">
        <v>1</v>
      </c>
      <c r="AG18" s="715">
        <f t="shared" si="9"/>
        <v>9.1743119266055051E-3</v>
      </c>
      <c r="AI18" s="763">
        <v>1</v>
      </c>
      <c r="AJ18" s="715">
        <f t="shared" si="10"/>
        <v>9.1743119266055051E-3</v>
      </c>
      <c r="AL18" s="763">
        <v>1</v>
      </c>
      <c r="AM18" s="715">
        <f t="shared" si="11"/>
        <v>9.1743119266055051E-3</v>
      </c>
      <c r="AP18" s="712">
        <f t="shared" si="13"/>
        <v>12</v>
      </c>
      <c r="AQ18" s="765">
        <f t="shared" si="12"/>
        <v>9.1743119266055051E-3</v>
      </c>
      <c r="AS18" s="210"/>
    </row>
    <row r="19" spans="2:69" x14ac:dyDescent="0.15">
      <c r="B19" s="709">
        <v>7550</v>
      </c>
      <c r="C19" s="394" t="s">
        <v>307</v>
      </c>
      <c r="E19" s="710">
        <v>1</v>
      </c>
      <c r="F19" s="715">
        <f t="shared" si="0"/>
        <v>9.1743119266055051E-3</v>
      </c>
      <c r="H19" s="763">
        <v>1</v>
      </c>
      <c r="I19" s="715">
        <f t="shared" si="1"/>
        <v>9.1743119266055051E-3</v>
      </c>
      <c r="K19" s="763">
        <v>1</v>
      </c>
      <c r="L19" s="715">
        <f t="shared" si="2"/>
        <v>9.1743119266055051E-3</v>
      </c>
      <c r="N19" s="763">
        <v>1</v>
      </c>
      <c r="O19" s="715">
        <f t="shared" si="3"/>
        <v>9.1743119266055051E-3</v>
      </c>
      <c r="Q19" s="763">
        <v>1</v>
      </c>
      <c r="R19" s="715">
        <f t="shared" si="4"/>
        <v>9.1743119266055051E-3</v>
      </c>
      <c r="T19" s="763">
        <v>1</v>
      </c>
      <c r="U19" s="715">
        <f t="shared" si="5"/>
        <v>9.1743119266055051E-3</v>
      </c>
      <c r="W19" s="763">
        <v>1</v>
      </c>
      <c r="X19" s="715">
        <f t="shared" si="6"/>
        <v>9.1743119266055051E-3</v>
      </c>
      <c r="Z19" s="763">
        <v>1</v>
      </c>
      <c r="AA19" s="715">
        <f t="shared" si="7"/>
        <v>9.1743119266055051E-3</v>
      </c>
      <c r="AC19" s="763">
        <v>1</v>
      </c>
      <c r="AD19" s="715">
        <f t="shared" si="8"/>
        <v>9.1743119266055051E-3</v>
      </c>
      <c r="AF19" s="763">
        <v>1</v>
      </c>
      <c r="AG19" s="715">
        <f t="shared" si="9"/>
        <v>9.1743119266055051E-3</v>
      </c>
      <c r="AI19" s="763">
        <v>1</v>
      </c>
      <c r="AJ19" s="715">
        <f t="shared" si="10"/>
        <v>9.1743119266055051E-3</v>
      </c>
      <c r="AL19" s="763">
        <v>1</v>
      </c>
      <c r="AM19" s="715">
        <f t="shared" si="11"/>
        <v>9.1743119266055051E-3</v>
      </c>
      <c r="AP19" s="712">
        <f t="shared" si="13"/>
        <v>12</v>
      </c>
      <c r="AQ19" s="765">
        <f t="shared" si="12"/>
        <v>9.1743119266055051E-3</v>
      </c>
    </row>
    <row r="20" spans="2:69" x14ac:dyDescent="0.15">
      <c r="B20" s="709">
        <v>7555</v>
      </c>
      <c r="C20" s="394" t="s">
        <v>308</v>
      </c>
      <c r="E20" s="710">
        <v>1</v>
      </c>
      <c r="F20" s="715">
        <f t="shared" si="0"/>
        <v>9.1743119266055051E-3</v>
      </c>
      <c r="H20" s="763">
        <v>1</v>
      </c>
      <c r="I20" s="715">
        <f t="shared" si="1"/>
        <v>9.1743119266055051E-3</v>
      </c>
      <c r="K20" s="763">
        <v>1</v>
      </c>
      <c r="L20" s="715">
        <f t="shared" si="2"/>
        <v>9.1743119266055051E-3</v>
      </c>
      <c r="N20" s="763">
        <v>1</v>
      </c>
      <c r="O20" s="715">
        <f t="shared" si="3"/>
        <v>9.1743119266055051E-3</v>
      </c>
      <c r="Q20" s="763">
        <v>1</v>
      </c>
      <c r="R20" s="715">
        <f t="shared" si="4"/>
        <v>9.1743119266055051E-3</v>
      </c>
      <c r="T20" s="763">
        <v>1</v>
      </c>
      <c r="U20" s="715">
        <f t="shared" si="5"/>
        <v>9.1743119266055051E-3</v>
      </c>
      <c r="W20" s="763">
        <v>1</v>
      </c>
      <c r="X20" s="715">
        <f t="shared" si="6"/>
        <v>9.1743119266055051E-3</v>
      </c>
      <c r="Z20" s="763">
        <v>1</v>
      </c>
      <c r="AA20" s="715">
        <f t="shared" si="7"/>
        <v>9.1743119266055051E-3</v>
      </c>
      <c r="AC20" s="763">
        <v>1</v>
      </c>
      <c r="AD20" s="715">
        <f t="shared" si="8"/>
        <v>9.1743119266055051E-3</v>
      </c>
      <c r="AF20" s="763">
        <v>1</v>
      </c>
      <c r="AG20" s="715">
        <f t="shared" si="9"/>
        <v>9.1743119266055051E-3</v>
      </c>
      <c r="AI20" s="763">
        <v>1</v>
      </c>
      <c r="AJ20" s="715">
        <f t="shared" si="10"/>
        <v>9.1743119266055051E-3</v>
      </c>
      <c r="AL20" s="763">
        <v>1</v>
      </c>
      <c r="AM20" s="715">
        <f t="shared" si="11"/>
        <v>9.1743119266055051E-3</v>
      </c>
      <c r="AP20" s="712">
        <f t="shared" si="13"/>
        <v>12</v>
      </c>
      <c r="AQ20" s="765">
        <f t="shared" si="12"/>
        <v>9.1743119266055051E-3</v>
      </c>
    </row>
    <row r="21" spans="2:69" x14ac:dyDescent="0.15">
      <c r="B21" s="709">
        <v>7560</v>
      </c>
      <c r="C21" s="394" t="s">
        <v>309</v>
      </c>
      <c r="E21" s="710">
        <v>1</v>
      </c>
      <c r="F21" s="715">
        <f t="shared" si="0"/>
        <v>9.1743119266055051E-3</v>
      </c>
      <c r="H21" s="763">
        <v>1</v>
      </c>
      <c r="I21" s="715">
        <f t="shared" si="1"/>
        <v>9.1743119266055051E-3</v>
      </c>
      <c r="K21" s="763">
        <v>1</v>
      </c>
      <c r="L21" s="715">
        <f t="shared" si="2"/>
        <v>9.1743119266055051E-3</v>
      </c>
      <c r="N21" s="763">
        <v>1</v>
      </c>
      <c r="O21" s="715">
        <f t="shared" si="3"/>
        <v>9.1743119266055051E-3</v>
      </c>
      <c r="Q21" s="763">
        <v>1</v>
      </c>
      <c r="R21" s="715">
        <f t="shared" si="4"/>
        <v>9.1743119266055051E-3</v>
      </c>
      <c r="T21" s="763">
        <v>1</v>
      </c>
      <c r="U21" s="715">
        <f t="shared" si="5"/>
        <v>9.1743119266055051E-3</v>
      </c>
      <c r="W21" s="763">
        <v>1</v>
      </c>
      <c r="X21" s="715">
        <f t="shared" si="6"/>
        <v>9.1743119266055051E-3</v>
      </c>
      <c r="Z21" s="763">
        <v>1</v>
      </c>
      <c r="AA21" s="715">
        <f t="shared" si="7"/>
        <v>9.1743119266055051E-3</v>
      </c>
      <c r="AC21" s="763">
        <v>1</v>
      </c>
      <c r="AD21" s="715">
        <f t="shared" si="8"/>
        <v>9.1743119266055051E-3</v>
      </c>
      <c r="AF21" s="763">
        <v>1</v>
      </c>
      <c r="AG21" s="715">
        <f t="shared" si="9"/>
        <v>9.1743119266055051E-3</v>
      </c>
      <c r="AI21" s="763">
        <v>1</v>
      </c>
      <c r="AJ21" s="715">
        <f t="shared" si="10"/>
        <v>9.1743119266055051E-3</v>
      </c>
      <c r="AL21" s="763">
        <v>1</v>
      </c>
      <c r="AM21" s="715">
        <f t="shared" si="11"/>
        <v>9.1743119266055051E-3</v>
      </c>
      <c r="AP21" s="712">
        <f t="shared" si="13"/>
        <v>12</v>
      </c>
      <c r="AQ21" s="765">
        <f t="shared" si="12"/>
        <v>9.1743119266055051E-3</v>
      </c>
    </row>
    <row r="22" spans="2:69" x14ac:dyDescent="0.15">
      <c r="B22" s="709">
        <v>7599</v>
      </c>
      <c r="C22" s="394" t="s">
        <v>310</v>
      </c>
      <c r="E22" s="710">
        <v>1</v>
      </c>
      <c r="F22" s="715">
        <f t="shared" si="0"/>
        <v>9.1743119266055051E-3</v>
      </c>
      <c r="H22" s="763">
        <v>1</v>
      </c>
      <c r="I22" s="715">
        <f t="shared" si="1"/>
        <v>9.1743119266055051E-3</v>
      </c>
      <c r="K22" s="763">
        <v>1</v>
      </c>
      <c r="L22" s="715">
        <f t="shared" si="2"/>
        <v>9.1743119266055051E-3</v>
      </c>
      <c r="N22" s="763">
        <v>1</v>
      </c>
      <c r="O22" s="715">
        <f t="shared" si="3"/>
        <v>9.1743119266055051E-3</v>
      </c>
      <c r="Q22" s="763">
        <v>1</v>
      </c>
      <c r="R22" s="715">
        <f t="shared" si="4"/>
        <v>9.1743119266055051E-3</v>
      </c>
      <c r="T22" s="763">
        <v>1</v>
      </c>
      <c r="U22" s="715">
        <f t="shared" si="5"/>
        <v>9.1743119266055051E-3</v>
      </c>
      <c r="W22" s="763">
        <v>1</v>
      </c>
      <c r="X22" s="715">
        <f t="shared" si="6"/>
        <v>9.1743119266055051E-3</v>
      </c>
      <c r="Z22" s="763">
        <v>1</v>
      </c>
      <c r="AA22" s="715">
        <f t="shared" si="7"/>
        <v>9.1743119266055051E-3</v>
      </c>
      <c r="AC22" s="763">
        <v>1</v>
      </c>
      <c r="AD22" s="715">
        <f t="shared" si="8"/>
        <v>9.1743119266055051E-3</v>
      </c>
      <c r="AF22" s="763">
        <v>1</v>
      </c>
      <c r="AG22" s="715">
        <f t="shared" si="9"/>
        <v>9.1743119266055051E-3</v>
      </c>
      <c r="AI22" s="763">
        <v>1</v>
      </c>
      <c r="AJ22" s="715">
        <f t="shared" si="10"/>
        <v>9.1743119266055051E-3</v>
      </c>
      <c r="AL22" s="763">
        <v>1</v>
      </c>
      <c r="AM22" s="715">
        <f t="shared" si="11"/>
        <v>9.1743119266055051E-3</v>
      </c>
      <c r="AP22" s="712">
        <f t="shared" si="13"/>
        <v>12</v>
      </c>
      <c r="AQ22" s="765">
        <f t="shared" si="12"/>
        <v>9.1743119266055051E-3</v>
      </c>
    </row>
    <row r="23" spans="2:69" ht="14" thickBot="1" x14ac:dyDescent="0.2">
      <c r="B23" s="709"/>
      <c r="C23" s="394"/>
      <c r="E23" s="710"/>
      <c r="F23" s="747"/>
      <c r="H23" s="763"/>
      <c r="I23" s="747"/>
      <c r="K23" s="763"/>
      <c r="L23" s="747"/>
      <c r="N23" s="763"/>
      <c r="O23" s="747"/>
      <c r="Q23" s="763"/>
      <c r="R23" s="747"/>
      <c r="T23" s="763"/>
      <c r="U23" s="747"/>
      <c r="W23" s="763"/>
      <c r="X23" s="747"/>
      <c r="Z23" s="763"/>
      <c r="AA23" s="747"/>
      <c r="AC23" s="763"/>
      <c r="AD23" s="747"/>
      <c r="AF23" s="763"/>
      <c r="AG23" s="747"/>
      <c r="AI23" s="763"/>
      <c r="AJ23" s="747"/>
      <c r="AL23" s="763"/>
      <c r="AM23" s="747"/>
      <c r="AP23" s="712"/>
      <c r="AQ23" s="748"/>
    </row>
    <row r="24" spans="2:69" ht="15" thickTop="1" thickBot="1" x14ac:dyDescent="0.2">
      <c r="B24" s="499">
        <v>7500</v>
      </c>
      <c r="C24" s="500" t="s">
        <v>311</v>
      </c>
      <c r="D24" s="214"/>
      <c r="E24" s="719">
        <f>SUM(E13:E23)</f>
        <v>109</v>
      </c>
      <c r="F24" s="720">
        <f>SUM(F13:F23)</f>
        <v>0.99999999999999978</v>
      </c>
      <c r="G24" s="214"/>
      <c r="H24" s="721">
        <f>SUM(H13:H23)</f>
        <v>109</v>
      </c>
      <c r="I24" s="720">
        <f>SUM(I13:I23)</f>
        <v>0.99999999999999978</v>
      </c>
      <c r="J24" s="214"/>
      <c r="K24" s="719">
        <f>SUM(K13:K23)</f>
        <v>109</v>
      </c>
      <c r="L24" s="720">
        <f>SUM(L13:L23)</f>
        <v>0.99999999999999978</v>
      </c>
      <c r="M24" s="214"/>
      <c r="N24" s="719">
        <f>SUM(N13:N23)</f>
        <v>109</v>
      </c>
      <c r="O24" s="720">
        <f>SUM(O13:O23)</f>
        <v>0.99999999999999978</v>
      </c>
      <c r="P24" s="214"/>
      <c r="Q24" s="719">
        <f>SUM(Q13:Q23)</f>
        <v>109</v>
      </c>
      <c r="R24" s="720">
        <f>SUM(R13:R23)</f>
        <v>0.99999999999999978</v>
      </c>
      <c r="S24" s="214"/>
      <c r="T24" s="719">
        <f>SUM(T13:T23)</f>
        <v>109</v>
      </c>
      <c r="U24" s="720">
        <f>SUM(U13:U23)</f>
        <v>0.99999999999999978</v>
      </c>
      <c r="V24" s="214"/>
      <c r="W24" s="719">
        <f>SUM(W13:W23)</f>
        <v>109</v>
      </c>
      <c r="X24" s="720">
        <f>SUM(X13:X23)</f>
        <v>0.99999999999999978</v>
      </c>
      <c r="Y24" s="214"/>
      <c r="Z24" s="719">
        <f>SUM(Z13:Z23)</f>
        <v>109</v>
      </c>
      <c r="AA24" s="720">
        <f>SUM(AA13:AA23)</f>
        <v>0.99999999999999978</v>
      </c>
      <c r="AB24" s="214"/>
      <c r="AC24" s="719">
        <f>SUM(AC13:AC23)</f>
        <v>109</v>
      </c>
      <c r="AD24" s="720">
        <f>SUM(AD13:AD23)</f>
        <v>0.99999999999999978</v>
      </c>
      <c r="AE24" s="214"/>
      <c r="AF24" s="719">
        <f>SUM(AF13:AF23)</f>
        <v>109</v>
      </c>
      <c r="AG24" s="720">
        <f>SUM(AG13:AG23)</f>
        <v>0.99999999999999978</v>
      </c>
      <c r="AH24" s="214"/>
      <c r="AI24" s="719">
        <f>SUM(AI13:AI23)</f>
        <v>109</v>
      </c>
      <c r="AJ24" s="720">
        <f>SUM(AJ13:AJ23)</f>
        <v>0.99999999999999978</v>
      </c>
      <c r="AK24" s="214"/>
      <c r="AL24" s="719">
        <f>SUM(AL13:AL23)</f>
        <v>109</v>
      </c>
      <c r="AM24" s="720">
        <f>SUM(AM13:AM23)</f>
        <v>0.99999999999999978</v>
      </c>
      <c r="AN24" s="214"/>
      <c r="AO24" s="214"/>
      <c r="AP24" s="719">
        <f>SUM(AP13:AP23)</f>
        <v>1308</v>
      </c>
      <c r="AQ24" s="720">
        <f>SUM(AQ13:AQ23)</f>
        <v>0.99999999999999978</v>
      </c>
      <c r="AR24" s="214"/>
      <c r="AS24" s="214"/>
      <c r="AT24" s="214"/>
      <c r="AU24" s="252"/>
    </row>
    <row r="25" spans="2:69" ht="14" thickTop="1" x14ac:dyDescent="0.15">
      <c r="L25" s="316"/>
      <c r="O25" s="316"/>
      <c r="R25" s="316"/>
      <c r="U25" s="316"/>
      <c r="X25" s="316"/>
      <c r="AA25" s="316"/>
      <c r="AD25" s="316"/>
      <c r="AG25" s="316"/>
      <c r="AJ25" s="316"/>
      <c r="AM25" s="316"/>
      <c r="AQ25" s="316"/>
    </row>
    <row r="26" spans="2:69" x14ac:dyDescent="0.15">
      <c r="R26" s="316"/>
      <c r="U26" s="316"/>
      <c r="X26" s="316"/>
      <c r="AD26" s="316"/>
      <c r="AG26" s="316"/>
      <c r="AJ26" s="316"/>
      <c r="AM26" s="316"/>
    </row>
    <row r="27" spans="2:69" x14ac:dyDescent="0.15">
      <c r="U27" s="316"/>
      <c r="AG27" s="316"/>
      <c r="AJ27" s="316"/>
      <c r="AM27" s="316"/>
    </row>
    <row r="28" spans="2:69" x14ac:dyDescent="0.15">
      <c r="C28" s="161" t="s">
        <v>2</v>
      </c>
      <c r="E28" s="161" t="s">
        <v>2</v>
      </c>
      <c r="G28" s="161" t="s">
        <v>2</v>
      </c>
      <c r="H28" s="161" t="s">
        <v>2</v>
      </c>
      <c r="U28" s="316"/>
      <c r="AG28" s="316"/>
      <c r="AJ28" s="316"/>
      <c r="AM28" s="316"/>
    </row>
    <row r="29" spans="2:69" x14ac:dyDescent="0.15">
      <c r="H29" s="161" t="s">
        <v>2</v>
      </c>
      <c r="AG29" s="316"/>
      <c r="AJ29" s="316"/>
      <c r="AM29" s="316"/>
    </row>
    <row r="30" spans="2:69" x14ac:dyDescent="0.15">
      <c r="H30" s="161" t="s">
        <v>2</v>
      </c>
      <c r="AM30" s="316"/>
    </row>
    <row r="31" spans="2:69" x14ac:dyDescent="0.15">
      <c r="H31" s="161" t="s">
        <v>2</v>
      </c>
      <c r="BB31" s="170"/>
      <c r="BC31" s="170"/>
      <c r="BD31" s="170"/>
      <c r="BE31" s="170"/>
      <c r="BF31" s="170"/>
      <c r="BG31" s="170"/>
      <c r="BH31" s="170"/>
      <c r="BI31" s="170"/>
      <c r="BJ31" s="170"/>
      <c r="BK31" s="170"/>
      <c r="BL31" s="170"/>
      <c r="BM31" s="170"/>
      <c r="BN31" s="170"/>
      <c r="BO31" s="170"/>
      <c r="BP31" s="170"/>
      <c r="BQ31" s="170"/>
    </row>
    <row r="32" spans="2:69" x14ac:dyDescent="0.15">
      <c r="H32" s="161" t="s">
        <v>2</v>
      </c>
    </row>
    <row r="33" spans="8:8" x14ac:dyDescent="0.15">
      <c r="H33" s="161" t="s">
        <v>2</v>
      </c>
    </row>
    <row r="43" spans="8:8" x14ac:dyDescent="0.15">
      <c r="H43" s="722"/>
    </row>
  </sheetData>
  <sheetProtection algorithmName="SHA-512" hashValue="aDjZ0LFh6waks7s3Yi2NYOn1cSwEU6Y1mHvNPQpHyfHm2hUlEW7zNxpU3k0NCQ6RAuRKSTWxNnXUKakj98gPFg==" saltValue="wgFi3K+353Y2/cMK8qAhdg==" spinCount="100000" sheet="1" objects="1" scenarios="1"/>
  <mergeCells count="9">
    <mergeCell ref="AS2:AS8"/>
    <mergeCell ref="BC2:BC8"/>
    <mergeCell ref="B9:C9"/>
    <mergeCell ref="B2:C2"/>
    <mergeCell ref="B3:C3"/>
    <mergeCell ref="B4:C4"/>
    <mergeCell ref="B6:C6"/>
    <mergeCell ref="B7:C7"/>
    <mergeCell ref="B8:C8"/>
  </mergeCells>
  <hyperlinks>
    <hyperlink ref="C11" r:id="rId1" xr:uid="{29B484A2-6751-F44A-9402-A26B7F16B843}"/>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5F55-6BF9-3F42-BF02-40976A37002C}">
  <sheetPr>
    <tabColor theme="1"/>
    <pageSetUpPr fitToPage="1"/>
  </sheetPr>
  <dimension ref="B1:BQ44"/>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50.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0" t="str">
        <f>'Coût marchandises vendues'!B2</f>
        <v xml:space="preserve">Entreprise de restauration alimentaire 12 inc. </v>
      </c>
      <c r="C2" s="941"/>
      <c r="AS2" s="898" t="s">
        <v>42</v>
      </c>
      <c r="AT2" s="369"/>
      <c r="AU2" s="369"/>
      <c r="AV2" s="369"/>
      <c r="AW2" s="369"/>
      <c r="AX2" s="369"/>
      <c r="AY2" s="369"/>
      <c r="AZ2" s="369"/>
      <c r="BA2" s="369"/>
      <c r="BB2" s="369"/>
      <c r="BC2" s="901" t="s">
        <v>43</v>
      </c>
    </row>
    <row r="3" spans="2:56" ht="20" customHeight="1" x14ac:dyDescent="0.2">
      <c r="B3" s="942" t="str">
        <f>'Coût marchandises vendues'!B3</f>
        <v xml:space="preserve">États des résultats prévisionnels </v>
      </c>
      <c r="C3" s="943"/>
      <c r="AS3" s="899"/>
      <c r="AT3" s="370"/>
      <c r="AU3" s="370"/>
      <c r="AV3" s="370"/>
      <c r="AW3" s="370"/>
      <c r="AX3" s="370"/>
      <c r="AY3" s="370"/>
      <c r="AZ3" s="370"/>
      <c r="BA3" s="370"/>
      <c r="BB3" s="370"/>
      <c r="BC3" s="902"/>
    </row>
    <row r="4" spans="2:56" ht="20" customHeight="1" thickBot="1" x14ac:dyDescent="0.3">
      <c r="B4" s="944" t="str">
        <f>'Coût marchandises vendues'!B4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16" t="str">
        <f>'Coût marchandises vendues'!B6</f>
        <v>Nb de places</v>
      </c>
      <c r="C6" s="946"/>
      <c r="E6" s="693" t="str">
        <f>'Coût marchandises vendues'!D6</f>
        <v>Coût / place / jour</v>
      </c>
      <c r="F6" s="694">
        <f>+E25/$B$7/'Calendrier 2021'!D8</f>
        <v>0.64516129032258063</v>
      </c>
      <c r="G6" s="170"/>
      <c r="H6" s="693" t="str">
        <f>+E6</f>
        <v>Coût / place / jour</v>
      </c>
      <c r="I6" s="694">
        <f>+H25/$B$7/'Calendrier 2021'!E8</f>
        <v>0.7142857142857143</v>
      </c>
      <c r="J6" s="170"/>
      <c r="K6" s="693" t="str">
        <f>+H6</f>
        <v>Coût / place / jour</v>
      </c>
      <c r="L6" s="694">
        <f>+K25/$B$7/'Calendrier 2021'!F8</f>
        <v>0.64516129032258063</v>
      </c>
      <c r="M6" s="170"/>
      <c r="N6" s="693" t="str">
        <f>+K6</f>
        <v>Coût / place / jour</v>
      </c>
      <c r="O6" s="694">
        <f>+N25/$B$7/'Calendrier 2021'!G8</f>
        <v>0.66666666666666663</v>
      </c>
      <c r="P6" s="436"/>
      <c r="Q6" s="693" t="str">
        <f>+N6</f>
        <v>Coût / place / jour</v>
      </c>
      <c r="R6" s="694">
        <f>+Q25/$B$7/'Calendrier 2021'!H8</f>
        <v>0.64516129032258063</v>
      </c>
      <c r="S6" s="436"/>
      <c r="T6" s="693" t="str">
        <f>+Q6</f>
        <v>Coût / place / jour</v>
      </c>
      <c r="U6" s="694">
        <f>+T25/$B$7/'Calendrier 2021'!I8</f>
        <v>0.66666666666666663</v>
      </c>
      <c r="V6" s="170"/>
      <c r="W6" s="693" t="str">
        <f>+T6</f>
        <v>Coût / place / jour</v>
      </c>
      <c r="X6" s="694">
        <f>+W25/$B$7/'Calendrier 2021'!J8</f>
        <v>0.64516129032258063</v>
      </c>
      <c r="Y6" s="170"/>
      <c r="Z6" s="693" t="str">
        <f>+W6</f>
        <v>Coût / place / jour</v>
      </c>
      <c r="AA6" s="694">
        <f>+Z25/$B$7/'Calendrier 2021'!K8</f>
        <v>0.64516129032258063</v>
      </c>
      <c r="AB6" s="170"/>
      <c r="AC6" s="693" t="str">
        <f>+Z6</f>
        <v>Coût / place / jour</v>
      </c>
      <c r="AD6" s="694">
        <f>+AC25/$B$7/'Calendrier 2021'!L8</f>
        <v>0.66666666666666663</v>
      </c>
      <c r="AE6" s="170"/>
      <c r="AF6" s="693" t="str">
        <f>+AC6</f>
        <v>Coût / place / jour</v>
      </c>
      <c r="AG6" s="694">
        <f>+AF25/$B$7/'Calendrier 2021'!M8</f>
        <v>0.64516129032258063</v>
      </c>
      <c r="AH6" s="170"/>
      <c r="AI6" s="693" t="str">
        <f>+AF6</f>
        <v>Coût / place / jour</v>
      </c>
      <c r="AJ6" s="694">
        <f>+AI25/$B$7/'Calendrier 2021'!N8</f>
        <v>0.66666666666666663</v>
      </c>
      <c r="AK6" s="170"/>
      <c r="AL6" s="693" t="str">
        <f>+AI6</f>
        <v>Coût / place / jour</v>
      </c>
      <c r="AM6" s="694">
        <f>+AL25/$B$7/'Calendrier 2021'!O8</f>
        <v>0.64516129032258063</v>
      </c>
      <c r="AN6" s="170"/>
      <c r="AO6" s="170"/>
      <c r="AP6" s="695" t="str">
        <f>+AL6</f>
        <v>Coût / place / jour</v>
      </c>
      <c r="AQ6" s="696">
        <f>+AP25/$B$7/'% Occupation'!P9</f>
        <v>0.65753424657534243</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20">
        <f>'État des Résultats'!C7</f>
        <v>50</v>
      </c>
      <c r="C7" s="947"/>
      <c r="E7" s="438">
        <f>+E25/$AP25</f>
        <v>8.3333333333333329E-2</v>
      </c>
      <c r="F7" s="697"/>
      <c r="H7" s="438">
        <f>+H25/$AP25</f>
        <v>8.3333333333333329E-2</v>
      </c>
      <c r="I7" s="697"/>
      <c r="K7" s="438">
        <f>+K25/$AP25</f>
        <v>8.3333333333333329E-2</v>
      </c>
      <c r="L7" s="439"/>
      <c r="N7" s="438">
        <f>+N25/$AP25</f>
        <v>8.3333333333333329E-2</v>
      </c>
      <c r="O7" s="439"/>
      <c r="P7" s="698"/>
      <c r="Q7" s="438">
        <f>+Q25/$AP25</f>
        <v>8.3333333333333329E-2</v>
      </c>
      <c r="R7" s="439"/>
      <c r="S7" s="698"/>
      <c r="T7" s="438">
        <f>+T25/$AP25</f>
        <v>8.3333333333333329E-2</v>
      </c>
      <c r="U7" s="439"/>
      <c r="W7" s="438">
        <f>+W25/$AP25</f>
        <v>8.3333333333333329E-2</v>
      </c>
      <c r="X7" s="439"/>
      <c r="Z7" s="438">
        <f>+Z25/$AP25</f>
        <v>8.3333333333333329E-2</v>
      </c>
      <c r="AA7" s="439"/>
      <c r="AC7" s="438">
        <f>+AC25/$AP25</f>
        <v>8.3333333333333329E-2</v>
      </c>
      <c r="AD7" s="439"/>
      <c r="AF7" s="438">
        <f>+AF25/$AP25</f>
        <v>8.3333333333333329E-2</v>
      </c>
      <c r="AG7" s="439"/>
      <c r="AI7" s="438">
        <f>+AI25/$AP25</f>
        <v>8.3333333333333329E-2</v>
      </c>
      <c r="AJ7" s="439"/>
      <c r="AL7" s="438">
        <f>+AL25/$AP25</f>
        <v>8.3333333333333329E-2</v>
      </c>
      <c r="AM7" s="439"/>
      <c r="AP7" s="699">
        <f>+AP25/$AP25</f>
        <v>1</v>
      </c>
      <c r="AQ7" s="700" t="s">
        <v>137</v>
      </c>
      <c r="AS7" s="899"/>
      <c r="AT7" s="684">
        <f>AP25</f>
        <v>12000</v>
      </c>
      <c r="AU7" s="371" t="s">
        <v>44</v>
      </c>
      <c r="AV7" s="685">
        <f>'Formule pour le calcul D'!G114</f>
        <v>22875</v>
      </c>
      <c r="AW7" s="371" t="s">
        <v>45</v>
      </c>
      <c r="AX7" s="371" t="s">
        <v>46</v>
      </c>
      <c r="AY7" s="686">
        <f>'Formule pour le calcul D'!J106</f>
        <v>2.2200000000000002</v>
      </c>
      <c r="AZ7" s="371" t="s">
        <v>45</v>
      </c>
      <c r="BA7" s="687">
        <f>AT7/AV7/AY7</f>
        <v>0.23630187564613794</v>
      </c>
      <c r="BB7" s="371" t="s">
        <v>49</v>
      </c>
      <c r="BC7" s="902"/>
    </row>
    <row r="8" spans="2:56" ht="17" thickBot="1" x14ac:dyDescent="0.25">
      <c r="B8" s="920" t="s">
        <v>325</v>
      </c>
      <c r="C8" s="947"/>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04" t="str">
        <f>'État des Résultats'!AP8</f>
        <v>Total</v>
      </c>
      <c r="AQ8" s="701" t="str">
        <f>AM8</f>
        <v>(%)</v>
      </c>
      <c r="AS8" s="900"/>
      <c r="AT8" s="376"/>
      <c r="AU8" s="376"/>
      <c r="AV8" s="376"/>
      <c r="AW8" s="376"/>
      <c r="AX8" s="376"/>
      <c r="AY8" s="376"/>
      <c r="AZ8" s="376"/>
      <c r="BA8" s="376"/>
      <c r="BB8" s="376"/>
      <c r="BC8" s="903"/>
    </row>
    <row r="9" spans="2:56" ht="15" thickTop="1" thickBot="1" x14ac:dyDescent="0.2">
      <c r="B9" s="956">
        <f>AP25/$B$7</f>
        <v>240</v>
      </c>
      <c r="C9" s="957"/>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28" t="str">
        <f>'État des Résultats'!AP9</f>
        <v>Année</v>
      </c>
      <c r="AQ9" s="729"/>
      <c r="AR9" s="730"/>
      <c r="AS9" s="730"/>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4" thickTop="1" x14ac:dyDescent="0.15">
      <c r="B11" s="706"/>
      <c r="C11" s="774" t="s">
        <v>312</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66">
        <v>7610</v>
      </c>
      <c r="C13" s="767" t="s">
        <v>313</v>
      </c>
      <c r="E13" s="710">
        <v>1000</v>
      </c>
      <c r="F13" s="711">
        <f>E13/'État des Résultats'!$E$14</f>
        <v>2.6106150217398965E-2</v>
      </c>
      <c r="H13" s="710">
        <v>1000</v>
      </c>
      <c r="I13" s="711">
        <f>H13/'État des Résultats'!$E$14</f>
        <v>2.6106150217398965E-2</v>
      </c>
      <c r="K13" s="710">
        <v>1000</v>
      </c>
      <c r="L13" s="711">
        <f>K13/'État des Résultats'!$E$14</f>
        <v>2.6106150217398965E-2</v>
      </c>
      <c r="N13" s="710">
        <v>1000</v>
      </c>
      <c r="O13" s="711">
        <f>N13/'État des Résultats'!$E$14</f>
        <v>2.6106150217398965E-2</v>
      </c>
      <c r="Q13" s="710">
        <v>1000</v>
      </c>
      <c r="R13" s="711">
        <f>Q13/'État des Résultats'!$E$14</f>
        <v>2.6106150217398965E-2</v>
      </c>
      <c r="T13" s="710">
        <v>1000</v>
      </c>
      <c r="U13" s="711">
        <f>T13/'État des Résultats'!$E$14</f>
        <v>2.6106150217398965E-2</v>
      </c>
      <c r="W13" s="710">
        <v>1000</v>
      </c>
      <c r="X13" s="711">
        <f>W13/'État des Résultats'!$E$14</f>
        <v>2.6106150217398965E-2</v>
      </c>
      <c r="Z13" s="710">
        <v>1000</v>
      </c>
      <c r="AA13" s="711">
        <f>Z13/'État des Résultats'!$E$14</f>
        <v>2.6106150217398965E-2</v>
      </c>
      <c r="AC13" s="710">
        <v>1000</v>
      </c>
      <c r="AD13" s="711">
        <f>AC13/'État des Résultats'!$E$14</f>
        <v>2.6106150217398965E-2</v>
      </c>
      <c r="AF13" s="710">
        <v>1000</v>
      </c>
      <c r="AG13" s="711">
        <f>AF13/'État des Résultats'!$E$14</f>
        <v>2.6106150217398965E-2</v>
      </c>
      <c r="AI13" s="710">
        <v>1000</v>
      </c>
      <c r="AJ13" s="711">
        <f>AI13/'État des Résultats'!$E$14</f>
        <v>2.6106150217398965E-2</v>
      </c>
      <c r="AL13" s="710">
        <v>1000</v>
      </c>
      <c r="AM13" s="711">
        <f>AL13/'État des Résultats'!$E$14</f>
        <v>2.6106150217398965E-2</v>
      </c>
      <c r="AP13" s="712">
        <f>SUM(+$AL13+$AI13+$AF13+$AC13+$Z13+$W13+$T13+$Q13+$N13+$K13+$H13+$E13)</f>
        <v>12000</v>
      </c>
      <c r="AQ13" s="713">
        <f>AP13/'État des Résultats'!$AP$14</f>
        <v>2.1227295914475225E-2</v>
      </c>
    </row>
    <row r="14" spans="2:56" x14ac:dyDescent="0.15">
      <c r="B14" s="766">
        <v>7615</v>
      </c>
      <c r="C14" s="767" t="s">
        <v>314</v>
      </c>
      <c r="E14" s="710">
        <v>0</v>
      </c>
      <c r="F14" s="711">
        <f>E14/'État des Résultats'!$E$14</f>
        <v>0</v>
      </c>
      <c r="H14" s="710">
        <v>0</v>
      </c>
      <c r="I14" s="711">
        <f>H14/'État des Résultats'!$E$14</f>
        <v>0</v>
      </c>
      <c r="K14" s="710">
        <v>0</v>
      </c>
      <c r="L14" s="711">
        <f>K14/'État des Résultats'!$E$14</f>
        <v>0</v>
      </c>
      <c r="N14" s="710">
        <v>0</v>
      </c>
      <c r="O14" s="711">
        <f>N14/'État des Résultats'!$E$14</f>
        <v>0</v>
      </c>
      <c r="Q14" s="710">
        <v>0</v>
      </c>
      <c r="R14" s="711">
        <f>Q14/'État des Résultats'!$E$14</f>
        <v>0</v>
      </c>
      <c r="T14" s="710">
        <v>0</v>
      </c>
      <c r="U14" s="711">
        <f>T14/'État des Résultats'!$E$14</f>
        <v>0</v>
      </c>
      <c r="W14" s="710">
        <v>0</v>
      </c>
      <c r="X14" s="711">
        <f>W14/'État des Résultats'!$E$14</f>
        <v>0</v>
      </c>
      <c r="Z14" s="710">
        <v>0</v>
      </c>
      <c r="AA14" s="711">
        <f>Z14/'État des Résultats'!$E$14</f>
        <v>0</v>
      </c>
      <c r="AC14" s="710">
        <v>0</v>
      </c>
      <c r="AD14" s="711">
        <f>AC14/'État des Résultats'!$E$14</f>
        <v>0</v>
      </c>
      <c r="AF14" s="710">
        <v>0</v>
      </c>
      <c r="AG14" s="711">
        <f>AF14/'État des Résultats'!$E$14</f>
        <v>0</v>
      </c>
      <c r="AI14" s="710">
        <v>0</v>
      </c>
      <c r="AJ14" s="711">
        <f>AI14/'État des Résultats'!$E$14</f>
        <v>0</v>
      </c>
      <c r="AL14" s="710">
        <v>0</v>
      </c>
      <c r="AM14" s="711">
        <f>AL14/'État des Résultats'!$E$14</f>
        <v>0</v>
      </c>
      <c r="AP14" s="712">
        <f>SUM(+$AL14+$AI14+$AF14+$AC14+$Z14+$W14+$T14+$Q14+$N14+$K14+$H14+$E14)</f>
        <v>0</v>
      </c>
      <c r="AQ14" s="713">
        <f>AP14/'État des Résultats'!$AP$14</f>
        <v>0</v>
      </c>
    </row>
    <row r="15" spans="2:56" x14ac:dyDescent="0.15">
      <c r="B15" s="768">
        <v>7620</v>
      </c>
      <c r="C15" s="769" t="s">
        <v>315</v>
      </c>
      <c r="E15" s="714">
        <v>0</v>
      </c>
      <c r="F15" s="711">
        <f>E15/'État des Résultats'!$E$14</f>
        <v>0</v>
      </c>
      <c r="H15" s="714">
        <v>0</v>
      </c>
      <c r="I15" s="711">
        <f>H15/'État des Résultats'!$E$14</f>
        <v>0</v>
      </c>
      <c r="K15" s="714">
        <v>0</v>
      </c>
      <c r="L15" s="711">
        <f>K15/'État des Résultats'!$E$14</f>
        <v>0</v>
      </c>
      <c r="N15" s="714">
        <v>0</v>
      </c>
      <c r="O15" s="711">
        <f>N15/'État des Résultats'!$E$14</f>
        <v>0</v>
      </c>
      <c r="Q15" s="714">
        <v>0</v>
      </c>
      <c r="R15" s="711">
        <f>Q15/'État des Résultats'!$E$14</f>
        <v>0</v>
      </c>
      <c r="T15" s="714">
        <v>0</v>
      </c>
      <c r="U15" s="711">
        <f>T15/'État des Résultats'!$E$14</f>
        <v>0</v>
      </c>
      <c r="W15" s="714">
        <v>0</v>
      </c>
      <c r="X15" s="711">
        <f>W15/'État des Résultats'!$E$14</f>
        <v>0</v>
      </c>
      <c r="Z15" s="714">
        <v>0</v>
      </c>
      <c r="AA15" s="711">
        <f>Z15/'État des Résultats'!$E$14</f>
        <v>0</v>
      </c>
      <c r="AC15" s="714">
        <v>0</v>
      </c>
      <c r="AD15" s="711">
        <f>AC15/'État des Résultats'!$E$14</f>
        <v>0</v>
      </c>
      <c r="AF15" s="714">
        <v>0</v>
      </c>
      <c r="AG15" s="711">
        <f>AF15/'État des Résultats'!$E$14</f>
        <v>0</v>
      </c>
      <c r="AI15" s="714">
        <v>0</v>
      </c>
      <c r="AJ15" s="711">
        <f>AI15/'État des Résultats'!$E$14</f>
        <v>0</v>
      </c>
      <c r="AL15" s="714">
        <v>0</v>
      </c>
      <c r="AM15" s="711">
        <f>AL15/'État des Résultats'!$E$14</f>
        <v>0</v>
      </c>
      <c r="AP15" s="712">
        <f>SUM(+$AL15+$AI15+$AF15+$AC15+$Z15+$W15+$T15+$Q15+$N15+$K15+$H15+$E15)</f>
        <v>0</v>
      </c>
      <c r="AQ15" s="713">
        <f>AP15/'État des Résultats'!$AP$14</f>
        <v>0</v>
      </c>
    </row>
    <row r="16" spans="2:56" x14ac:dyDescent="0.15">
      <c r="B16" s="768">
        <v>7630</v>
      </c>
      <c r="C16" s="769" t="s">
        <v>316</v>
      </c>
      <c r="E16" s="710">
        <v>0</v>
      </c>
      <c r="F16" s="711">
        <f>E16/'État des Résultats'!$E$14</f>
        <v>0</v>
      </c>
      <c r="G16" s="716" t="s">
        <v>2</v>
      </c>
      <c r="H16" s="710">
        <v>0</v>
      </c>
      <c r="I16" s="711">
        <f>H16/'État des Résultats'!$E$14</f>
        <v>0</v>
      </c>
      <c r="K16" s="710">
        <v>0</v>
      </c>
      <c r="L16" s="711">
        <f>K16/'État des Résultats'!$E$14</f>
        <v>0</v>
      </c>
      <c r="N16" s="710">
        <v>0</v>
      </c>
      <c r="O16" s="711">
        <f>N16/'État des Résultats'!$E$14</f>
        <v>0</v>
      </c>
      <c r="Q16" s="710">
        <v>0</v>
      </c>
      <c r="R16" s="711">
        <f>Q16/'État des Résultats'!$E$14</f>
        <v>0</v>
      </c>
      <c r="T16" s="710">
        <v>0</v>
      </c>
      <c r="U16" s="711">
        <f>T16/'État des Résultats'!$E$14</f>
        <v>0</v>
      </c>
      <c r="W16" s="710">
        <v>0</v>
      </c>
      <c r="X16" s="711">
        <f>W16/'État des Résultats'!$E$14</f>
        <v>0</v>
      </c>
      <c r="Z16" s="710">
        <v>0</v>
      </c>
      <c r="AA16" s="711">
        <f>Z16/'État des Résultats'!$E$14</f>
        <v>0</v>
      </c>
      <c r="AC16" s="710">
        <v>0</v>
      </c>
      <c r="AD16" s="711">
        <f>AC16/'État des Résultats'!$E$14</f>
        <v>0</v>
      </c>
      <c r="AF16" s="710">
        <v>0</v>
      </c>
      <c r="AG16" s="711">
        <f>AF16/'État des Résultats'!$E$14</f>
        <v>0</v>
      </c>
      <c r="AI16" s="710">
        <v>0</v>
      </c>
      <c r="AJ16" s="711">
        <f>AI16/'État des Résultats'!$E$14</f>
        <v>0</v>
      </c>
      <c r="AL16" s="710">
        <v>0</v>
      </c>
      <c r="AM16" s="711">
        <f>AL16/'État des Résultats'!$E$14</f>
        <v>0</v>
      </c>
      <c r="AP16" s="712">
        <f t="shared" ref="AP16:AP23" si="0">SUM(+$AL16+$AI16+$AF16+$AC16+$Z16+$W16+$T16+$Q16+$N16+$K16+$H16+$E16)</f>
        <v>0</v>
      </c>
      <c r="AQ16" s="713">
        <f>AP16/'État des Résultats'!$AP$14</f>
        <v>0</v>
      </c>
    </row>
    <row r="17" spans="2:69" x14ac:dyDescent="0.15">
      <c r="B17" s="768">
        <v>7640</v>
      </c>
      <c r="C17" s="769" t="s">
        <v>317</v>
      </c>
      <c r="E17" s="710">
        <v>0</v>
      </c>
      <c r="F17" s="711">
        <f>E17/'État des Résultats'!$E$14</f>
        <v>0</v>
      </c>
      <c r="H17" s="710">
        <v>0</v>
      </c>
      <c r="I17" s="711">
        <f>H17/'État des Résultats'!$E$14</f>
        <v>0</v>
      </c>
      <c r="K17" s="710">
        <v>0</v>
      </c>
      <c r="L17" s="711">
        <f>K17/'État des Résultats'!$E$14</f>
        <v>0</v>
      </c>
      <c r="N17" s="710">
        <v>0</v>
      </c>
      <c r="O17" s="711">
        <f>N17/'État des Résultats'!$E$14</f>
        <v>0</v>
      </c>
      <c r="Q17" s="710">
        <v>0</v>
      </c>
      <c r="R17" s="711">
        <f>Q17/'État des Résultats'!$E$14</f>
        <v>0</v>
      </c>
      <c r="T17" s="710">
        <v>0</v>
      </c>
      <c r="U17" s="711">
        <f>T17/'État des Résultats'!$E$14</f>
        <v>0</v>
      </c>
      <c r="W17" s="710">
        <v>0</v>
      </c>
      <c r="X17" s="711">
        <f>W17/'État des Résultats'!$E$14</f>
        <v>0</v>
      </c>
      <c r="Z17" s="710">
        <v>0</v>
      </c>
      <c r="AA17" s="711">
        <f>Z17/'État des Résultats'!$E$14</f>
        <v>0</v>
      </c>
      <c r="AC17" s="710">
        <v>0</v>
      </c>
      <c r="AD17" s="711">
        <f>AC17/'État des Résultats'!$E$14</f>
        <v>0</v>
      </c>
      <c r="AF17" s="710">
        <v>0</v>
      </c>
      <c r="AG17" s="711">
        <f>AF17/'État des Résultats'!$E$14</f>
        <v>0</v>
      </c>
      <c r="AI17" s="710">
        <v>0</v>
      </c>
      <c r="AJ17" s="711">
        <f>AI17/'État des Résultats'!$E$14</f>
        <v>0</v>
      </c>
      <c r="AL17" s="710">
        <v>0</v>
      </c>
      <c r="AM17" s="711">
        <f>AL17/'État des Résultats'!$E$14</f>
        <v>0</v>
      </c>
      <c r="AP17" s="712">
        <f t="shared" si="0"/>
        <v>0</v>
      </c>
      <c r="AQ17" s="713">
        <f>AP17/'État des Résultats'!$AP$14</f>
        <v>0</v>
      </c>
    </row>
    <row r="18" spans="2:69" x14ac:dyDescent="0.15">
      <c r="B18" s="768">
        <v>7650</v>
      </c>
      <c r="C18" s="769" t="s">
        <v>318</v>
      </c>
      <c r="E18" s="710">
        <v>0</v>
      </c>
      <c r="F18" s="711">
        <f>E18/'État des Résultats'!$E$14</f>
        <v>0</v>
      </c>
      <c r="H18" s="710">
        <v>0</v>
      </c>
      <c r="I18" s="711">
        <f>H18/'État des Résultats'!$E$14</f>
        <v>0</v>
      </c>
      <c r="K18" s="710">
        <v>0</v>
      </c>
      <c r="L18" s="711">
        <f>K18/'État des Résultats'!$E$14</f>
        <v>0</v>
      </c>
      <c r="N18" s="710">
        <v>0</v>
      </c>
      <c r="O18" s="711">
        <f>N18/'État des Résultats'!$E$14</f>
        <v>0</v>
      </c>
      <c r="Q18" s="710">
        <v>0</v>
      </c>
      <c r="R18" s="711">
        <f>Q18/'État des Résultats'!$E$14</f>
        <v>0</v>
      </c>
      <c r="T18" s="710">
        <v>0</v>
      </c>
      <c r="U18" s="711">
        <f>T18/'État des Résultats'!$E$14</f>
        <v>0</v>
      </c>
      <c r="W18" s="710">
        <v>0</v>
      </c>
      <c r="X18" s="711">
        <f>W18/'État des Résultats'!$E$14</f>
        <v>0</v>
      </c>
      <c r="Z18" s="710">
        <v>0</v>
      </c>
      <c r="AA18" s="711">
        <f>Z18/'État des Résultats'!$E$14</f>
        <v>0</v>
      </c>
      <c r="AC18" s="710">
        <v>0</v>
      </c>
      <c r="AD18" s="711">
        <f>AC18/'État des Résultats'!$E$14</f>
        <v>0</v>
      </c>
      <c r="AF18" s="710">
        <v>0</v>
      </c>
      <c r="AG18" s="711">
        <f>AF18/'État des Résultats'!$E$14</f>
        <v>0</v>
      </c>
      <c r="AI18" s="710">
        <v>0</v>
      </c>
      <c r="AJ18" s="711">
        <f>AI18/'État des Résultats'!$E$14</f>
        <v>0</v>
      </c>
      <c r="AL18" s="710">
        <v>0</v>
      </c>
      <c r="AM18" s="711">
        <f>AL18/'État des Résultats'!$E$14</f>
        <v>0</v>
      </c>
      <c r="AP18" s="712">
        <f t="shared" si="0"/>
        <v>0</v>
      </c>
      <c r="AQ18" s="713">
        <f>AP18/'État des Résultats'!$AP$14</f>
        <v>0</v>
      </c>
    </row>
    <row r="19" spans="2:69" x14ac:dyDescent="0.15">
      <c r="B19" s="768">
        <v>7660</v>
      </c>
      <c r="C19" s="769" t="s">
        <v>319</v>
      </c>
      <c r="E19" s="710">
        <v>0</v>
      </c>
      <c r="F19" s="711">
        <f>E19/'État des Résultats'!$E$14</f>
        <v>0</v>
      </c>
      <c r="H19" s="710">
        <v>0</v>
      </c>
      <c r="I19" s="711">
        <f>H19/'État des Résultats'!$E$14</f>
        <v>0</v>
      </c>
      <c r="K19" s="710">
        <v>0</v>
      </c>
      <c r="L19" s="711">
        <f>K19/'État des Résultats'!$E$14</f>
        <v>0</v>
      </c>
      <c r="N19" s="710">
        <v>0</v>
      </c>
      <c r="O19" s="711">
        <f>N19/'État des Résultats'!$E$14</f>
        <v>0</v>
      </c>
      <c r="Q19" s="710">
        <v>0</v>
      </c>
      <c r="R19" s="711">
        <f>Q19/'État des Résultats'!$E$14</f>
        <v>0</v>
      </c>
      <c r="T19" s="710">
        <v>0</v>
      </c>
      <c r="U19" s="711">
        <f>T19/'État des Résultats'!$E$14</f>
        <v>0</v>
      </c>
      <c r="W19" s="710">
        <v>0</v>
      </c>
      <c r="X19" s="711">
        <f>W19/'État des Résultats'!$E$14</f>
        <v>0</v>
      </c>
      <c r="Z19" s="710">
        <v>0</v>
      </c>
      <c r="AA19" s="711">
        <f>Z19/'État des Résultats'!$E$14</f>
        <v>0</v>
      </c>
      <c r="AC19" s="710">
        <v>0</v>
      </c>
      <c r="AD19" s="711">
        <f>AC19/'État des Résultats'!$E$14</f>
        <v>0</v>
      </c>
      <c r="AF19" s="710">
        <v>0</v>
      </c>
      <c r="AG19" s="711">
        <f>AF19/'État des Résultats'!$E$14</f>
        <v>0</v>
      </c>
      <c r="AI19" s="710">
        <v>0</v>
      </c>
      <c r="AJ19" s="711">
        <f>AI19/'État des Résultats'!$E$14</f>
        <v>0</v>
      </c>
      <c r="AL19" s="710">
        <v>0</v>
      </c>
      <c r="AM19" s="711">
        <f>AL19/'État des Résultats'!$E$14</f>
        <v>0</v>
      </c>
      <c r="AP19" s="712">
        <f t="shared" si="0"/>
        <v>0</v>
      </c>
      <c r="AQ19" s="713">
        <f>AP19/'État des Résultats'!$AP$14</f>
        <v>0</v>
      </c>
      <c r="AS19" s="210"/>
    </row>
    <row r="20" spans="2:69" x14ac:dyDescent="0.15">
      <c r="B20" s="768">
        <v>7670</v>
      </c>
      <c r="C20" s="769" t="s">
        <v>320</v>
      </c>
      <c r="E20" s="710">
        <v>0</v>
      </c>
      <c r="F20" s="711">
        <f>E20/'État des Résultats'!$E$14</f>
        <v>0</v>
      </c>
      <c r="H20" s="710">
        <v>0</v>
      </c>
      <c r="I20" s="711">
        <f>H20/'État des Résultats'!$E$14</f>
        <v>0</v>
      </c>
      <c r="K20" s="710">
        <v>0</v>
      </c>
      <c r="L20" s="711">
        <f>K20/'État des Résultats'!$E$14</f>
        <v>0</v>
      </c>
      <c r="N20" s="710">
        <v>0</v>
      </c>
      <c r="O20" s="711">
        <f>N20/'État des Résultats'!$E$14</f>
        <v>0</v>
      </c>
      <c r="Q20" s="710">
        <v>0</v>
      </c>
      <c r="R20" s="711">
        <f>Q20/'État des Résultats'!$E$14</f>
        <v>0</v>
      </c>
      <c r="T20" s="710">
        <v>0</v>
      </c>
      <c r="U20" s="711">
        <f>T20/'État des Résultats'!$E$14</f>
        <v>0</v>
      </c>
      <c r="W20" s="710">
        <v>0</v>
      </c>
      <c r="X20" s="711">
        <f>W20/'État des Résultats'!$E$14</f>
        <v>0</v>
      </c>
      <c r="Z20" s="710">
        <v>0</v>
      </c>
      <c r="AA20" s="711">
        <f>Z20/'État des Résultats'!$E$14</f>
        <v>0</v>
      </c>
      <c r="AC20" s="710">
        <v>0</v>
      </c>
      <c r="AD20" s="711">
        <f>AC20/'État des Résultats'!$E$14</f>
        <v>0</v>
      </c>
      <c r="AF20" s="710">
        <v>0</v>
      </c>
      <c r="AG20" s="711">
        <f>AF20/'État des Résultats'!$E$14</f>
        <v>0</v>
      </c>
      <c r="AI20" s="710">
        <v>0</v>
      </c>
      <c r="AJ20" s="711">
        <f>AI20/'État des Résultats'!$E$14</f>
        <v>0</v>
      </c>
      <c r="AL20" s="710">
        <v>0</v>
      </c>
      <c r="AM20" s="711">
        <f>AL20/'État des Résultats'!$E$14</f>
        <v>0</v>
      </c>
      <c r="AP20" s="712">
        <f t="shared" si="0"/>
        <v>0</v>
      </c>
      <c r="AQ20" s="713">
        <f>AP20/'État des Résultats'!$AP$14</f>
        <v>0</v>
      </c>
    </row>
    <row r="21" spans="2:69" x14ac:dyDescent="0.15">
      <c r="B21" s="768">
        <v>7680</v>
      </c>
      <c r="C21" s="769" t="s">
        <v>321</v>
      </c>
      <c r="E21" s="710">
        <v>0</v>
      </c>
      <c r="F21" s="711">
        <f>E21/'État des Résultats'!$E$14</f>
        <v>0</v>
      </c>
      <c r="H21" s="710">
        <v>0</v>
      </c>
      <c r="I21" s="711">
        <f>H21/'État des Résultats'!$E$14</f>
        <v>0</v>
      </c>
      <c r="K21" s="710">
        <v>0</v>
      </c>
      <c r="L21" s="711">
        <f>K21/'État des Résultats'!$E$14</f>
        <v>0</v>
      </c>
      <c r="N21" s="710">
        <v>0</v>
      </c>
      <c r="O21" s="711">
        <f>N21/'État des Résultats'!$E$14</f>
        <v>0</v>
      </c>
      <c r="Q21" s="710">
        <v>0</v>
      </c>
      <c r="R21" s="711">
        <f>Q21/'État des Résultats'!$E$14</f>
        <v>0</v>
      </c>
      <c r="T21" s="710">
        <v>0</v>
      </c>
      <c r="U21" s="711">
        <f>T21/'État des Résultats'!$E$14</f>
        <v>0</v>
      </c>
      <c r="W21" s="710">
        <v>0</v>
      </c>
      <c r="X21" s="711">
        <f>W21/'État des Résultats'!$E$14</f>
        <v>0</v>
      </c>
      <c r="Z21" s="710">
        <v>0</v>
      </c>
      <c r="AA21" s="711">
        <f>Z21/'État des Résultats'!$E$14</f>
        <v>0</v>
      </c>
      <c r="AC21" s="710">
        <v>0</v>
      </c>
      <c r="AD21" s="711">
        <f>AC21/'État des Résultats'!$E$14</f>
        <v>0</v>
      </c>
      <c r="AF21" s="710">
        <v>0</v>
      </c>
      <c r="AG21" s="711">
        <f>AF21/'État des Résultats'!$E$14</f>
        <v>0</v>
      </c>
      <c r="AI21" s="710">
        <v>0</v>
      </c>
      <c r="AJ21" s="711">
        <f>AI21/'État des Résultats'!$E$14</f>
        <v>0</v>
      </c>
      <c r="AL21" s="710">
        <v>0</v>
      </c>
      <c r="AM21" s="711">
        <f>AL21/'État des Résultats'!$E$14</f>
        <v>0</v>
      </c>
      <c r="AP21" s="712">
        <f t="shared" si="0"/>
        <v>0</v>
      </c>
      <c r="AQ21" s="713">
        <f>AP21/'État des Résultats'!$AP$14</f>
        <v>0</v>
      </c>
    </row>
    <row r="22" spans="2:69" x14ac:dyDescent="0.15">
      <c r="B22" s="768">
        <v>7690</v>
      </c>
      <c r="C22" s="769" t="s">
        <v>322</v>
      </c>
      <c r="E22" s="710">
        <v>0</v>
      </c>
      <c r="F22" s="711">
        <f>E22/'État des Résultats'!$E$14</f>
        <v>0</v>
      </c>
      <c r="H22" s="710">
        <v>0</v>
      </c>
      <c r="I22" s="711">
        <f>H22/'État des Résultats'!$E$14</f>
        <v>0</v>
      </c>
      <c r="K22" s="710">
        <v>0</v>
      </c>
      <c r="L22" s="711">
        <f>K22/'État des Résultats'!$E$14</f>
        <v>0</v>
      </c>
      <c r="N22" s="710">
        <v>0</v>
      </c>
      <c r="O22" s="711">
        <f>N22/'État des Résultats'!$E$14</f>
        <v>0</v>
      </c>
      <c r="Q22" s="710">
        <v>0</v>
      </c>
      <c r="R22" s="711">
        <f>Q22/'État des Résultats'!$E$14</f>
        <v>0</v>
      </c>
      <c r="T22" s="710">
        <v>0</v>
      </c>
      <c r="U22" s="711">
        <f>T22/'État des Résultats'!$E$14</f>
        <v>0</v>
      </c>
      <c r="W22" s="710">
        <v>0</v>
      </c>
      <c r="X22" s="711">
        <f>W22/'État des Résultats'!$E$14</f>
        <v>0</v>
      </c>
      <c r="Z22" s="710">
        <v>0</v>
      </c>
      <c r="AA22" s="711">
        <f>Z22/'État des Résultats'!$E$14</f>
        <v>0</v>
      </c>
      <c r="AC22" s="710">
        <v>0</v>
      </c>
      <c r="AD22" s="711">
        <f>AC22/'État des Résultats'!$E$14</f>
        <v>0</v>
      </c>
      <c r="AF22" s="710">
        <v>0</v>
      </c>
      <c r="AG22" s="711">
        <f>AF22/'État des Résultats'!$E$14</f>
        <v>0</v>
      </c>
      <c r="AI22" s="710">
        <v>0</v>
      </c>
      <c r="AJ22" s="711">
        <f>AI22/'État des Résultats'!$E$14</f>
        <v>0</v>
      </c>
      <c r="AL22" s="710">
        <v>0</v>
      </c>
      <c r="AM22" s="711">
        <f>AL22/'État des Résultats'!$E$14</f>
        <v>0</v>
      </c>
      <c r="AP22" s="712">
        <f t="shared" si="0"/>
        <v>0</v>
      </c>
      <c r="AQ22" s="713">
        <f>AP22/'État des Résultats'!$AP$14</f>
        <v>0</v>
      </c>
    </row>
    <row r="23" spans="2:69" x14ac:dyDescent="0.15">
      <c r="B23" s="768">
        <v>7699</v>
      </c>
      <c r="C23" s="769" t="s">
        <v>323</v>
      </c>
      <c r="E23" s="710">
        <v>0</v>
      </c>
      <c r="F23" s="711">
        <f>E23/'État des Résultats'!$E$14</f>
        <v>0</v>
      </c>
      <c r="H23" s="710">
        <v>0</v>
      </c>
      <c r="I23" s="711">
        <f>H23/'État des Résultats'!$E$14</f>
        <v>0</v>
      </c>
      <c r="K23" s="710">
        <v>0</v>
      </c>
      <c r="L23" s="711">
        <f>K23/'État des Résultats'!$E$14</f>
        <v>0</v>
      </c>
      <c r="N23" s="710">
        <v>0</v>
      </c>
      <c r="O23" s="711">
        <f>N23/'État des Résultats'!$E$14</f>
        <v>0</v>
      </c>
      <c r="Q23" s="710">
        <v>0</v>
      </c>
      <c r="R23" s="711">
        <f>Q23/'État des Résultats'!$E$14</f>
        <v>0</v>
      </c>
      <c r="T23" s="710">
        <v>0</v>
      </c>
      <c r="U23" s="711">
        <f>T23/'État des Résultats'!$E$14</f>
        <v>0</v>
      </c>
      <c r="W23" s="710">
        <v>0</v>
      </c>
      <c r="X23" s="711">
        <f>W23/'État des Résultats'!$E$14</f>
        <v>0</v>
      </c>
      <c r="Z23" s="710">
        <v>0</v>
      </c>
      <c r="AA23" s="711">
        <f>Z23/'État des Résultats'!$E$14</f>
        <v>0</v>
      </c>
      <c r="AC23" s="710">
        <v>0</v>
      </c>
      <c r="AD23" s="711">
        <f>AC23/'État des Résultats'!$E$14</f>
        <v>0</v>
      </c>
      <c r="AF23" s="710">
        <v>0</v>
      </c>
      <c r="AG23" s="711">
        <f>AF23/'État des Résultats'!$E$14</f>
        <v>0</v>
      </c>
      <c r="AI23" s="710">
        <v>0</v>
      </c>
      <c r="AJ23" s="711">
        <f>AI23/'État des Résultats'!$E$14</f>
        <v>0</v>
      </c>
      <c r="AL23" s="710">
        <v>0</v>
      </c>
      <c r="AM23" s="711">
        <f>AL23/'État des Résultats'!$E$14</f>
        <v>0</v>
      </c>
      <c r="AP23" s="712">
        <f t="shared" si="0"/>
        <v>0</v>
      </c>
      <c r="AQ23" s="713">
        <f>AP23/'État des Résultats'!$AP$14</f>
        <v>0</v>
      </c>
    </row>
    <row r="24" spans="2:69" ht="14" thickBot="1" x14ac:dyDescent="0.2">
      <c r="B24" s="770" t="s">
        <v>2</v>
      </c>
      <c r="C24" s="771"/>
      <c r="E24" s="772" t="s">
        <v>2</v>
      </c>
      <c r="F24" s="717" t="s">
        <v>2</v>
      </c>
      <c r="H24" s="772" t="s">
        <v>2</v>
      </c>
      <c r="I24" s="717" t="s">
        <v>2</v>
      </c>
      <c r="K24" s="772" t="s">
        <v>2</v>
      </c>
      <c r="L24" s="717" t="s">
        <v>2</v>
      </c>
      <c r="N24" s="772" t="s">
        <v>2</v>
      </c>
      <c r="O24" s="717" t="s">
        <v>2</v>
      </c>
      <c r="Q24" s="772" t="s">
        <v>2</v>
      </c>
      <c r="R24" s="717" t="s">
        <v>2</v>
      </c>
      <c r="S24" s="773"/>
      <c r="T24" s="772" t="s">
        <v>2</v>
      </c>
      <c r="U24" s="717" t="s">
        <v>2</v>
      </c>
      <c r="W24" s="772" t="s">
        <v>2</v>
      </c>
      <c r="X24" s="717" t="s">
        <v>2</v>
      </c>
      <c r="Z24" s="772" t="s">
        <v>2</v>
      </c>
      <c r="AA24" s="717" t="s">
        <v>2</v>
      </c>
      <c r="AC24" s="772" t="s">
        <v>2</v>
      </c>
      <c r="AD24" s="717" t="s">
        <v>2</v>
      </c>
      <c r="AF24" s="772" t="s">
        <v>2</v>
      </c>
      <c r="AG24" s="717" t="s">
        <v>2</v>
      </c>
      <c r="AI24" s="772" t="s">
        <v>2</v>
      </c>
      <c r="AJ24" s="717" t="s">
        <v>2</v>
      </c>
      <c r="AL24" s="772" t="s">
        <v>2</v>
      </c>
      <c r="AM24" s="717" t="s">
        <v>2</v>
      </c>
      <c r="AP24" s="712" t="s">
        <v>2</v>
      </c>
      <c r="AQ24" s="718" t="s">
        <v>2</v>
      </c>
    </row>
    <row r="25" spans="2:69" ht="15" thickTop="1" thickBot="1" x14ac:dyDescent="0.2">
      <c r="B25" s="499">
        <v>7600</v>
      </c>
      <c r="C25" s="500" t="s">
        <v>324</v>
      </c>
      <c r="D25" s="214"/>
      <c r="E25" s="719">
        <f>SUM(E13:E23)</f>
        <v>1000</v>
      </c>
      <c r="F25" s="720">
        <f>SUM(F13:F23)</f>
        <v>2.6106150217398965E-2</v>
      </c>
      <c r="G25" s="214"/>
      <c r="H25" s="719">
        <f>SUM(H13:H23)</f>
        <v>1000</v>
      </c>
      <c r="I25" s="720">
        <f>SUM(I13:I23)</f>
        <v>2.6106150217398965E-2</v>
      </c>
      <c r="J25" s="214"/>
      <c r="K25" s="719">
        <f>SUM(K13:K23)</f>
        <v>1000</v>
      </c>
      <c r="L25" s="720">
        <f>SUM(L13:L23)</f>
        <v>2.6106150217398965E-2</v>
      </c>
      <c r="M25" s="214"/>
      <c r="N25" s="719">
        <f>SUM(N13:N23)</f>
        <v>1000</v>
      </c>
      <c r="O25" s="720">
        <f>SUM(O13:O23)</f>
        <v>2.6106150217398965E-2</v>
      </c>
      <c r="P25" s="214"/>
      <c r="Q25" s="719">
        <f>SUM(Q13:Q23)</f>
        <v>1000</v>
      </c>
      <c r="R25" s="720">
        <f>SUM(R13:R23)</f>
        <v>2.6106150217398965E-2</v>
      </c>
      <c r="S25" s="214"/>
      <c r="T25" s="719">
        <f>SUM(T13:T23)</f>
        <v>1000</v>
      </c>
      <c r="U25" s="720">
        <f>SUM(U13:U23)</f>
        <v>2.6106150217398965E-2</v>
      </c>
      <c r="V25" s="214"/>
      <c r="W25" s="719">
        <f>SUM(W13:W23)</f>
        <v>1000</v>
      </c>
      <c r="X25" s="720">
        <f>SUM(X13:X23)</f>
        <v>2.6106150217398965E-2</v>
      </c>
      <c r="Y25" s="214"/>
      <c r="Z25" s="719">
        <f>SUM(Z13:Z23)</f>
        <v>1000</v>
      </c>
      <c r="AA25" s="720">
        <f>SUM(AA13:AA23)</f>
        <v>2.6106150217398965E-2</v>
      </c>
      <c r="AB25" s="214"/>
      <c r="AC25" s="719">
        <f>SUM(AC13:AC23)</f>
        <v>1000</v>
      </c>
      <c r="AD25" s="720">
        <f>SUM(AD13:AD23)</f>
        <v>2.6106150217398965E-2</v>
      </c>
      <c r="AE25" s="214"/>
      <c r="AF25" s="719">
        <f>SUM(AF13:AF23)</f>
        <v>1000</v>
      </c>
      <c r="AG25" s="720">
        <f>SUM(AG13:AG23)</f>
        <v>2.6106150217398965E-2</v>
      </c>
      <c r="AH25" s="214"/>
      <c r="AI25" s="719">
        <f>SUM(AI13:AI23)</f>
        <v>1000</v>
      </c>
      <c r="AJ25" s="720">
        <f>SUM(AJ13:AJ23)</f>
        <v>2.6106150217398965E-2</v>
      </c>
      <c r="AK25" s="214"/>
      <c r="AL25" s="719">
        <f>SUM(AL13:AL23)</f>
        <v>1000</v>
      </c>
      <c r="AM25" s="720">
        <f>SUM(AM13:AM23)</f>
        <v>2.6106150217398965E-2</v>
      </c>
      <c r="AN25" s="214"/>
      <c r="AO25" s="214"/>
      <c r="AP25" s="719">
        <f>SUM(AP13:AP23)</f>
        <v>12000</v>
      </c>
      <c r="AQ25" s="720">
        <f>SUM(AQ13:AQ23)</f>
        <v>2.1227295914475225E-2</v>
      </c>
      <c r="AR25" s="214"/>
      <c r="AS25" s="214"/>
      <c r="AT25" s="214"/>
      <c r="AU25" s="252"/>
    </row>
    <row r="26" spans="2:69" ht="14" thickTop="1" x14ac:dyDescent="0.15">
      <c r="L26" s="316"/>
      <c r="O26" s="316"/>
      <c r="R26" s="316"/>
      <c r="U26" s="316"/>
      <c r="X26" s="316"/>
      <c r="AA26" s="316"/>
      <c r="AD26" s="316"/>
      <c r="AG26" s="316"/>
      <c r="AJ26" s="316"/>
      <c r="AM26" s="316"/>
      <c r="AQ26" s="316"/>
    </row>
    <row r="27" spans="2:69" x14ac:dyDescent="0.15">
      <c r="R27" s="316"/>
      <c r="U27" s="316"/>
      <c r="X27" s="316"/>
      <c r="AD27" s="316"/>
      <c r="AG27" s="316"/>
      <c r="AJ27" s="316"/>
      <c r="AM27" s="316"/>
    </row>
    <row r="28" spans="2:69" x14ac:dyDescent="0.15">
      <c r="U28" s="316"/>
      <c r="AG28" s="316"/>
      <c r="AJ28" s="316"/>
      <c r="AM28" s="316"/>
    </row>
    <row r="29" spans="2:69" x14ac:dyDescent="0.15">
      <c r="C29" s="161" t="s">
        <v>2</v>
      </c>
      <c r="E29" s="161" t="s">
        <v>2</v>
      </c>
      <c r="G29" s="161" t="s">
        <v>2</v>
      </c>
      <c r="H29" s="161" t="s">
        <v>2</v>
      </c>
      <c r="U29" s="316"/>
      <c r="AG29" s="316"/>
      <c r="AJ29" s="316"/>
      <c r="AM29" s="316"/>
    </row>
    <row r="30" spans="2:69" x14ac:dyDescent="0.15">
      <c r="H30" s="161" t="s">
        <v>2</v>
      </c>
      <c r="AG30" s="316"/>
      <c r="AJ30" s="316"/>
      <c r="AM30" s="316"/>
    </row>
    <row r="31" spans="2:69" x14ac:dyDescent="0.15">
      <c r="H31" s="161" t="s">
        <v>2</v>
      </c>
      <c r="AM31" s="316"/>
    </row>
    <row r="32" spans="2:69" x14ac:dyDescent="0.15">
      <c r="H32" s="161" t="s">
        <v>2</v>
      </c>
      <c r="BB32" s="170"/>
      <c r="BC32" s="170"/>
      <c r="BD32" s="170"/>
      <c r="BE32" s="170"/>
      <c r="BF32" s="170"/>
      <c r="BG32" s="170"/>
      <c r="BH32" s="170"/>
      <c r="BI32" s="170"/>
      <c r="BJ32" s="170"/>
      <c r="BK32" s="170"/>
      <c r="BL32" s="170"/>
      <c r="BM32" s="170"/>
      <c r="BN32" s="170"/>
      <c r="BO32" s="170"/>
      <c r="BP32" s="170"/>
      <c r="BQ32" s="170"/>
    </row>
    <row r="33" spans="8:8" x14ac:dyDescent="0.15">
      <c r="H33" s="161" t="s">
        <v>2</v>
      </c>
    </row>
    <row r="34" spans="8:8" x14ac:dyDescent="0.15">
      <c r="H34" s="161" t="s">
        <v>2</v>
      </c>
    </row>
    <row r="44" spans="8:8" x14ac:dyDescent="0.15">
      <c r="H44" s="722"/>
    </row>
  </sheetData>
  <sheetProtection algorithmName="SHA-512" hashValue="wv2mODKOOV34nwdoRwToyi+hctJyqO5yyk4vunzE4vkZOj9Udt6bV0e8siIYBWeVGpY71kDTMkmThlloOhAbdQ==" saltValue="oS+72dVv84cqDV93YluhjA==" spinCount="100000" sheet="1" objects="1" scenarios="1"/>
  <mergeCells count="9">
    <mergeCell ref="BC2:BC8"/>
    <mergeCell ref="B6:C6"/>
    <mergeCell ref="B7:C7"/>
    <mergeCell ref="B8:C8"/>
    <mergeCell ref="B9:C9"/>
    <mergeCell ref="B2:C2"/>
    <mergeCell ref="B3:C3"/>
    <mergeCell ref="B4:C4"/>
    <mergeCell ref="AS2:AS8"/>
  </mergeCells>
  <hyperlinks>
    <hyperlink ref="C11" r:id="rId1" xr:uid="{F51A30BF-962D-E64C-B4E5-42142A90C6DA}"/>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35E8-30CE-0F40-8448-81529712EC14}">
  <sheetPr>
    <tabColor theme="1"/>
    <pageSetUpPr fitToPage="1"/>
  </sheetPr>
  <dimension ref="B1:BQ42"/>
  <sheetViews>
    <sheetView zoomScale="125" zoomScaleNormal="125" zoomScalePageLayoutView="125" workbookViewId="0">
      <selection activeCell="G1" sqref="G1"/>
    </sheetView>
  </sheetViews>
  <sheetFormatPr baseColWidth="10" defaultRowHeight="13" x14ac:dyDescent="0.15"/>
  <cols>
    <col min="1" max="1" width="2.1640625" style="161" customWidth="1"/>
    <col min="2" max="2" width="5.1640625" style="161" customWidth="1"/>
    <col min="3" max="3" width="42.66406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7.83203125" style="161" bestFit="1" customWidth="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0" t="str">
        <f>'Coût marchandises vendues'!B2</f>
        <v xml:space="preserve">Entreprise de restauration alimentaire 12 inc. </v>
      </c>
      <c r="C2" s="941"/>
      <c r="AS2" s="898" t="s">
        <v>42</v>
      </c>
      <c r="AT2" s="369"/>
      <c r="AU2" s="369"/>
      <c r="AV2" s="369"/>
      <c r="AW2" s="369"/>
      <c r="AX2" s="369"/>
      <c r="AY2" s="369"/>
      <c r="AZ2" s="369"/>
      <c r="BA2" s="369"/>
      <c r="BB2" s="369"/>
      <c r="BC2" s="901" t="s">
        <v>43</v>
      </c>
    </row>
    <row r="3" spans="2:56" ht="20" customHeight="1" x14ac:dyDescent="0.2">
      <c r="B3" s="942" t="str">
        <f>'Coût marchandises vendues'!B3</f>
        <v xml:space="preserve">États des résultats prévisionnels </v>
      </c>
      <c r="C3" s="943"/>
      <c r="AS3" s="899"/>
      <c r="AT3" s="370"/>
      <c r="AU3" s="370"/>
      <c r="AV3" s="370"/>
      <c r="AW3" s="370"/>
      <c r="AX3" s="370"/>
      <c r="AY3" s="370"/>
      <c r="AZ3" s="370"/>
      <c r="BA3" s="370"/>
      <c r="BB3" s="370"/>
      <c r="BC3" s="902"/>
    </row>
    <row r="4" spans="2:56" ht="20" customHeight="1" thickBot="1" x14ac:dyDescent="0.3">
      <c r="B4" s="944" t="str">
        <f>'Coût marchandises vendues'!B4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16" t="str">
        <f>'Coût marchandises vendues'!B6</f>
        <v>Nb de places</v>
      </c>
      <c r="C6" s="946"/>
      <c r="E6" s="693" t="str">
        <f>'Mark &amp; Communication marketing'!E6</f>
        <v>Coût / place / jour</v>
      </c>
      <c r="F6" s="694">
        <f>+E23/$B$7/'Calendrier 2021'!D8</f>
        <v>0.64516129032258063</v>
      </c>
      <c r="G6" s="170"/>
      <c r="H6" s="693" t="str">
        <f>+E6</f>
        <v>Coût / place / jour</v>
      </c>
      <c r="I6" s="694">
        <f>+H23/$B$7/'Calendrier 2021'!E8</f>
        <v>0.7142857142857143</v>
      </c>
      <c r="J6" s="170"/>
      <c r="K6" s="693" t="str">
        <f>+H6</f>
        <v>Coût / place / jour</v>
      </c>
      <c r="L6" s="694">
        <f>+K23/$B$7/'Calendrier 2021'!F8</f>
        <v>0.64516129032258063</v>
      </c>
      <c r="M6" s="170"/>
      <c r="N6" s="693" t="str">
        <f>+K6</f>
        <v>Coût / place / jour</v>
      </c>
      <c r="O6" s="694">
        <f>+N23/$B$7/'Calendrier 2021'!G8</f>
        <v>0.66666666666666663</v>
      </c>
      <c r="P6" s="436"/>
      <c r="Q6" s="693" t="str">
        <f>+N6</f>
        <v>Coût / place / jour</v>
      </c>
      <c r="R6" s="694">
        <f>+Q23/$B$7/'Calendrier 2021'!H8</f>
        <v>0.64516129032258063</v>
      </c>
      <c r="S6" s="436"/>
      <c r="T6" s="693" t="str">
        <f>+Q6</f>
        <v>Coût / place / jour</v>
      </c>
      <c r="U6" s="694">
        <f>+T23/$B$7/'Calendrier 2021'!I8</f>
        <v>0.66666666666666663</v>
      </c>
      <c r="V6" s="170"/>
      <c r="W6" s="693" t="str">
        <f>+T6</f>
        <v>Coût / place / jour</v>
      </c>
      <c r="X6" s="694">
        <f>+W23/$B$7/'Calendrier 2021'!J8</f>
        <v>0.64516129032258063</v>
      </c>
      <c r="Y6" s="170"/>
      <c r="Z6" s="693" t="str">
        <f>+W6</f>
        <v>Coût / place / jour</v>
      </c>
      <c r="AA6" s="694">
        <f>+Z23/$B$7/'Calendrier 2021'!K8</f>
        <v>0.64516129032258063</v>
      </c>
      <c r="AB6" s="170"/>
      <c r="AC6" s="693" t="str">
        <f>+Z6</f>
        <v>Coût / place / jour</v>
      </c>
      <c r="AD6" s="694">
        <f>+AC23/$B$7/'Calendrier 2021'!L8</f>
        <v>0.66666666666666663</v>
      </c>
      <c r="AE6" s="170"/>
      <c r="AF6" s="693" t="str">
        <f>+AC6</f>
        <v>Coût / place / jour</v>
      </c>
      <c r="AG6" s="694">
        <f>+AF23/$B$7/'Calendrier 2021'!M8</f>
        <v>0.64516129032258063</v>
      </c>
      <c r="AH6" s="170"/>
      <c r="AI6" s="693" t="str">
        <f>+AF6</f>
        <v>Coût / place / jour</v>
      </c>
      <c r="AJ6" s="694">
        <f>+AI23/$B$7/'Calendrier 2021'!N8</f>
        <v>0.66666666666666663</v>
      </c>
      <c r="AK6" s="170"/>
      <c r="AL6" s="693" t="str">
        <f>+AI6</f>
        <v>Coût / place / jour</v>
      </c>
      <c r="AM6" s="694">
        <f>+AL23/$B$7/'Calendrier 2021'!O8</f>
        <v>0.64516129032258063</v>
      </c>
      <c r="AN6" s="170"/>
      <c r="AO6" s="170"/>
      <c r="AP6" s="695" t="str">
        <f>+AL6</f>
        <v>Coût / place / jour</v>
      </c>
      <c r="AQ6" s="696">
        <f>+AP23/$B$7/'% Occupation'!P9</f>
        <v>0.65753424657534243</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48">
        <f>'Coût marchandises vendues'!B7</f>
        <v>50</v>
      </c>
      <c r="C7" s="947"/>
      <c r="E7" s="438">
        <f>+E23/$AP23</f>
        <v>8.3333333333333329E-2</v>
      </c>
      <c r="F7" s="697"/>
      <c r="H7" s="438">
        <f>+H23/$AP23</f>
        <v>8.3333333333333329E-2</v>
      </c>
      <c r="I7" s="697"/>
      <c r="K7" s="438">
        <f>+K23/$AP23</f>
        <v>8.3333333333333329E-2</v>
      </c>
      <c r="L7" s="439"/>
      <c r="N7" s="438">
        <f>+N23/$AP23</f>
        <v>8.3333333333333329E-2</v>
      </c>
      <c r="O7" s="439"/>
      <c r="P7" s="698"/>
      <c r="Q7" s="438">
        <f>+Q23/$AP23</f>
        <v>8.3333333333333329E-2</v>
      </c>
      <c r="R7" s="439"/>
      <c r="S7" s="698"/>
      <c r="T7" s="438">
        <f>+T23/$AP23</f>
        <v>8.3333333333333329E-2</v>
      </c>
      <c r="U7" s="439"/>
      <c r="W7" s="438">
        <f>+W23/$AP23</f>
        <v>8.3333333333333329E-2</v>
      </c>
      <c r="X7" s="439"/>
      <c r="Z7" s="438">
        <f>+Z23/$AP23</f>
        <v>8.3333333333333329E-2</v>
      </c>
      <c r="AA7" s="439"/>
      <c r="AC7" s="438">
        <f>+AC23/$AP23</f>
        <v>8.3333333333333329E-2</v>
      </c>
      <c r="AD7" s="439"/>
      <c r="AF7" s="438">
        <f>+AF23/$AP23</f>
        <v>8.3333333333333329E-2</v>
      </c>
      <c r="AG7" s="439"/>
      <c r="AI7" s="438">
        <f>+AI23/$AP23</f>
        <v>8.3333333333333329E-2</v>
      </c>
      <c r="AJ7" s="439"/>
      <c r="AL7" s="438">
        <f>+AL23/$AP23</f>
        <v>8.3333333333333329E-2</v>
      </c>
      <c r="AM7" s="439"/>
      <c r="AP7" s="699">
        <f>+AP23/$AP23</f>
        <v>1</v>
      </c>
      <c r="AQ7" s="700" t="s">
        <v>137</v>
      </c>
      <c r="AS7" s="899"/>
      <c r="AT7" s="684">
        <f>AP23</f>
        <v>12000</v>
      </c>
      <c r="AU7" s="371" t="s">
        <v>44</v>
      </c>
      <c r="AV7" s="685">
        <f>'Formule pour le calcul D'!G114</f>
        <v>22875</v>
      </c>
      <c r="AW7" s="371" t="s">
        <v>45</v>
      </c>
      <c r="AX7" s="371" t="s">
        <v>46</v>
      </c>
      <c r="AY7" s="686">
        <f>'Formule pour le calcul D'!J106</f>
        <v>2.2200000000000002</v>
      </c>
      <c r="AZ7" s="371" t="s">
        <v>45</v>
      </c>
      <c r="BA7" s="687">
        <f>AT7/AV7/AY7</f>
        <v>0.23630187564613794</v>
      </c>
      <c r="BB7" s="371" t="s">
        <v>49</v>
      </c>
      <c r="BC7" s="902"/>
    </row>
    <row r="8" spans="2:56" ht="17" thickBot="1" x14ac:dyDescent="0.25">
      <c r="B8" s="920" t="s">
        <v>337</v>
      </c>
      <c r="C8" s="947"/>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04" t="str">
        <f>'État des Résultats'!AP8</f>
        <v>Total</v>
      </c>
      <c r="AQ8" s="701" t="str">
        <f>AM8</f>
        <v>(%)</v>
      </c>
      <c r="AS8" s="900"/>
      <c r="AT8" s="376"/>
      <c r="AU8" s="376"/>
      <c r="AV8" s="376"/>
      <c r="AW8" s="376"/>
      <c r="AX8" s="376"/>
      <c r="AY8" s="376"/>
      <c r="AZ8" s="376"/>
      <c r="BA8" s="376"/>
      <c r="BB8" s="376"/>
      <c r="BC8" s="903"/>
    </row>
    <row r="9" spans="2:56" ht="15" thickTop="1" thickBot="1" x14ac:dyDescent="0.2">
      <c r="B9" s="956">
        <f>AP23/$B$7</f>
        <v>240</v>
      </c>
      <c r="C9" s="957"/>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28" t="str">
        <f>'État des Résultats'!AP9</f>
        <v>Année</v>
      </c>
      <c r="AQ9" s="729"/>
      <c r="AR9" s="762"/>
      <c r="AS9" s="762"/>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7" thickTop="1" x14ac:dyDescent="0.2">
      <c r="B11" s="706"/>
      <c r="C11" s="775" t="s">
        <v>326</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09">
        <v>7705</v>
      </c>
      <c r="C13" s="394" t="s">
        <v>327</v>
      </c>
      <c r="E13" s="710">
        <v>1000</v>
      </c>
      <c r="F13" s="711">
        <f>E13/'État des Résultats'!$E$14</f>
        <v>2.6106150217398965E-2</v>
      </c>
      <c r="H13" s="710">
        <v>1000</v>
      </c>
      <c r="I13" s="711">
        <f>H13/'État des Résultats'!$E$14</f>
        <v>2.6106150217398965E-2</v>
      </c>
      <c r="K13" s="710">
        <v>1000</v>
      </c>
      <c r="L13" s="711">
        <f>K13/'État des Résultats'!$E$14</f>
        <v>2.6106150217398965E-2</v>
      </c>
      <c r="N13" s="710">
        <v>1000</v>
      </c>
      <c r="O13" s="711">
        <f>N13/'État des Résultats'!$E$14</f>
        <v>2.6106150217398965E-2</v>
      </c>
      <c r="Q13" s="710">
        <v>1000</v>
      </c>
      <c r="R13" s="711">
        <f>Q13/'État des Résultats'!$E$14</f>
        <v>2.6106150217398965E-2</v>
      </c>
      <c r="T13" s="710">
        <v>1000</v>
      </c>
      <c r="U13" s="711">
        <f>T13/'État des Résultats'!$E$14</f>
        <v>2.6106150217398965E-2</v>
      </c>
      <c r="W13" s="710">
        <v>1000</v>
      </c>
      <c r="X13" s="711">
        <f>W13/'État des Résultats'!$E$14</f>
        <v>2.6106150217398965E-2</v>
      </c>
      <c r="Z13" s="710">
        <v>1000</v>
      </c>
      <c r="AA13" s="711">
        <f>Z13/'État des Résultats'!$E$14</f>
        <v>2.6106150217398965E-2</v>
      </c>
      <c r="AC13" s="710">
        <v>1000</v>
      </c>
      <c r="AD13" s="711">
        <f>AC13/'État des Résultats'!$E$14</f>
        <v>2.6106150217398965E-2</v>
      </c>
      <c r="AF13" s="710">
        <v>1000</v>
      </c>
      <c r="AG13" s="711">
        <f>AF13/'État des Résultats'!$E$14</f>
        <v>2.6106150217398965E-2</v>
      </c>
      <c r="AI13" s="710">
        <v>1000</v>
      </c>
      <c r="AJ13" s="711">
        <f>AI13/'État des Résultats'!$E$14</f>
        <v>2.6106150217398965E-2</v>
      </c>
      <c r="AL13" s="710">
        <v>1000</v>
      </c>
      <c r="AM13" s="711">
        <f>AL13/'État des Résultats'!$E$14</f>
        <v>2.6106150217398965E-2</v>
      </c>
      <c r="AP13" s="712">
        <f>SUM(+$AL13+$AI13+$AF13+$AC13+$Z13+$W13+$T13+$Q13+$N13+$K13+$H13+$E13)</f>
        <v>12000</v>
      </c>
      <c r="AQ13" s="713">
        <f>AP13/'État des Résultats'!$AP$14</f>
        <v>2.1227295914475225E-2</v>
      </c>
    </row>
    <row r="14" spans="2:56" x14ac:dyDescent="0.15">
      <c r="B14" s="709">
        <v>7710</v>
      </c>
      <c r="C14" s="394" t="s">
        <v>328</v>
      </c>
      <c r="E14" s="710">
        <v>0</v>
      </c>
      <c r="F14" s="711">
        <f>E14/'État des Résultats'!$E$14</f>
        <v>0</v>
      </c>
      <c r="H14" s="710">
        <v>0</v>
      </c>
      <c r="I14" s="711">
        <f>H14/'État des Résultats'!$E$14</f>
        <v>0</v>
      </c>
      <c r="K14" s="710">
        <v>0</v>
      </c>
      <c r="L14" s="711">
        <f>K14/'État des Résultats'!$E$14</f>
        <v>0</v>
      </c>
      <c r="N14" s="710">
        <v>0</v>
      </c>
      <c r="O14" s="711">
        <f>N14/'État des Résultats'!$E$14</f>
        <v>0</v>
      </c>
      <c r="Q14" s="710">
        <v>0</v>
      </c>
      <c r="R14" s="711">
        <f>Q14/'État des Résultats'!$E$14</f>
        <v>0</v>
      </c>
      <c r="T14" s="710">
        <v>0</v>
      </c>
      <c r="U14" s="711">
        <f>T14/'État des Résultats'!$E$14</f>
        <v>0</v>
      </c>
      <c r="W14" s="710">
        <v>0</v>
      </c>
      <c r="X14" s="711">
        <f>W14/'État des Résultats'!$E$14</f>
        <v>0</v>
      </c>
      <c r="Z14" s="710">
        <v>0</v>
      </c>
      <c r="AA14" s="711">
        <f>Z14/'État des Résultats'!$E$14</f>
        <v>0</v>
      </c>
      <c r="AC14" s="710">
        <v>0</v>
      </c>
      <c r="AD14" s="711">
        <f>AC14/'État des Résultats'!$E$14</f>
        <v>0</v>
      </c>
      <c r="AF14" s="710">
        <v>0</v>
      </c>
      <c r="AG14" s="711">
        <f>AF14/'État des Résultats'!$E$14</f>
        <v>0</v>
      </c>
      <c r="AI14" s="710">
        <v>0</v>
      </c>
      <c r="AJ14" s="711">
        <f>AI14/'État des Résultats'!$E$14</f>
        <v>0</v>
      </c>
      <c r="AL14" s="710">
        <v>0</v>
      </c>
      <c r="AM14" s="711">
        <f>AL14/'État des Résultats'!$E$14</f>
        <v>0</v>
      </c>
      <c r="AP14" s="712">
        <f>SUM(+$AL14+$AI14+$AF14+$AC14+$Z14+$W14+$T14+$Q14+$N14+$K14+$H14+$E14)</f>
        <v>0</v>
      </c>
      <c r="AQ14" s="713">
        <f>AP14/'État des Résultats'!$AP$14</f>
        <v>0</v>
      </c>
    </row>
    <row r="15" spans="2:56" x14ac:dyDescent="0.15">
      <c r="B15" s="709">
        <v>7715</v>
      </c>
      <c r="C15" s="394" t="s">
        <v>329</v>
      </c>
      <c r="E15" s="710">
        <v>0</v>
      </c>
      <c r="F15" s="711">
        <f>E15/'État des Résultats'!$E$14</f>
        <v>0</v>
      </c>
      <c r="G15" s="716" t="s">
        <v>2</v>
      </c>
      <c r="H15" s="710">
        <v>0</v>
      </c>
      <c r="I15" s="711">
        <f>H15/'État des Résultats'!$E$14</f>
        <v>0</v>
      </c>
      <c r="K15" s="710">
        <v>0</v>
      </c>
      <c r="L15" s="711">
        <f>K15/'État des Résultats'!$E$14</f>
        <v>0</v>
      </c>
      <c r="N15" s="710">
        <v>0</v>
      </c>
      <c r="O15" s="711">
        <f>N15/'État des Résultats'!$E$14</f>
        <v>0</v>
      </c>
      <c r="Q15" s="710">
        <v>0</v>
      </c>
      <c r="R15" s="711">
        <f>Q15/'État des Résultats'!$E$14</f>
        <v>0</v>
      </c>
      <c r="T15" s="710">
        <v>0</v>
      </c>
      <c r="U15" s="711">
        <f>T15/'État des Résultats'!$E$14</f>
        <v>0</v>
      </c>
      <c r="W15" s="710">
        <v>0</v>
      </c>
      <c r="X15" s="711">
        <f>W15/'État des Résultats'!$E$14</f>
        <v>0</v>
      </c>
      <c r="Z15" s="710">
        <v>0</v>
      </c>
      <c r="AA15" s="711">
        <f>Z15/'État des Résultats'!$E$14</f>
        <v>0</v>
      </c>
      <c r="AC15" s="710">
        <v>0</v>
      </c>
      <c r="AD15" s="711">
        <f>AC15/'État des Résultats'!$E$14</f>
        <v>0</v>
      </c>
      <c r="AF15" s="710">
        <v>0</v>
      </c>
      <c r="AG15" s="711">
        <f>AF15/'État des Résultats'!$E$14</f>
        <v>0</v>
      </c>
      <c r="AI15" s="710">
        <v>0</v>
      </c>
      <c r="AJ15" s="711">
        <f>AI15/'État des Résultats'!$E$14</f>
        <v>0</v>
      </c>
      <c r="AL15" s="710">
        <v>0</v>
      </c>
      <c r="AM15" s="711">
        <f>AL15/'État des Résultats'!$E$14</f>
        <v>0</v>
      </c>
      <c r="AP15" s="712">
        <f t="shared" ref="AP15:AP21" si="0">SUM(+$AL15+$AI15+$AF15+$AC15+$Z15+$W15+$T15+$Q15+$N15+$K15+$H15+$E15)</f>
        <v>0</v>
      </c>
      <c r="AQ15" s="713">
        <f>AP15/'État des Résultats'!$AP$14</f>
        <v>0</v>
      </c>
    </row>
    <row r="16" spans="2:56" x14ac:dyDescent="0.15">
      <c r="B16" s="709">
        <v>7720</v>
      </c>
      <c r="C16" s="394" t="s">
        <v>330</v>
      </c>
      <c r="E16" s="710">
        <v>0</v>
      </c>
      <c r="F16" s="711">
        <f>E16/'État des Résultats'!$E$14</f>
        <v>0</v>
      </c>
      <c r="H16" s="710">
        <v>0</v>
      </c>
      <c r="I16" s="711">
        <f>H16/'État des Résultats'!$E$14</f>
        <v>0</v>
      </c>
      <c r="K16" s="710">
        <v>0</v>
      </c>
      <c r="L16" s="711">
        <f>K16/'État des Résultats'!$E$14</f>
        <v>0</v>
      </c>
      <c r="N16" s="710">
        <v>0</v>
      </c>
      <c r="O16" s="711">
        <f>N16/'État des Résultats'!$E$14</f>
        <v>0</v>
      </c>
      <c r="Q16" s="710">
        <v>0</v>
      </c>
      <c r="R16" s="711">
        <f>Q16/'État des Résultats'!$E$14</f>
        <v>0</v>
      </c>
      <c r="T16" s="710">
        <v>0</v>
      </c>
      <c r="U16" s="711">
        <f>T16/'État des Résultats'!$E$14</f>
        <v>0</v>
      </c>
      <c r="W16" s="710">
        <v>0</v>
      </c>
      <c r="X16" s="711">
        <f>W16/'État des Résultats'!$E$14</f>
        <v>0</v>
      </c>
      <c r="Z16" s="710">
        <v>0</v>
      </c>
      <c r="AA16" s="711">
        <f>Z16/'État des Résultats'!$E$14</f>
        <v>0</v>
      </c>
      <c r="AC16" s="710">
        <v>0</v>
      </c>
      <c r="AD16" s="711">
        <f>AC16/'État des Résultats'!$E$14</f>
        <v>0</v>
      </c>
      <c r="AF16" s="710">
        <v>0</v>
      </c>
      <c r="AG16" s="711">
        <f>AF16/'État des Résultats'!$E$14</f>
        <v>0</v>
      </c>
      <c r="AI16" s="710">
        <v>0</v>
      </c>
      <c r="AJ16" s="711">
        <f>AI16/'État des Résultats'!$E$14</f>
        <v>0</v>
      </c>
      <c r="AL16" s="710">
        <v>0</v>
      </c>
      <c r="AM16" s="711">
        <f>AL16/'État des Résultats'!$E$14</f>
        <v>0</v>
      </c>
      <c r="AP16" s="712">
        <f t="shared" si="0"/>
        <v>0</v>
      </c>
      <c r="AQ16" s="713">
        <f>AP16/'État des Résultats'!$AP$14</f>
        <v>0</v>
      </c>
    </row>
    <row r="17" spans="2:69" x14ac:dyDescent="0.15">
      <c r="B17" s="709">
        <v>7725</v>
      </c>
      <c r="C17" s="394" t="s">
        <v>331</v>
      </c>
      <c r="E17" s="710">
        <v>0</v>
      </c>
      <c r="F17" s="711">
        <f>E17/'État des Résultats'!$E$14</f>
        <v>0</v>
      </c>
      <c r="H17" s="710">
        <v>0</v>
      </c>
      <c r="I17" s="711">
        <f>H17/'État des Résultats'!$E$14</f>
        <v>0</v>
      </c>
      <c r="K17" s="710">
        <v>0</v>
      </c>
      <c r="L17" s="711">
        <f>K17/'État des Résultats'!$E$14</f>
        <v>0</v>
      </c>
      <c r="N17" s="710">
        <v>0</v>
      </c>
      <c r="O17" s="711">
        <f>N17/'État des Résultats'!$E$14</f>
        <v>0</v>
      </c>
      <c r="Q17" s="710">
        <v>0</v>
      </c>
      <c r="R17" s="711">
        <f>Q17/'État des Résultats'!$E$14</f>
        <v>0</v>
      </c>
      <c r="T17" s="710">
        <v>0</v>
      </c>
      <c r="U17" s="711">
        <f>T17/'État des Résultats'!$E$14</f>
        <v>0</v>
      </c>
      <c r="W17" s="710">
        <v>0</v>
      </c>
      <c r="X17" s="711">
        <f>W17/'État des Résultats'!$E$14</f>
        <v>0</v>
      </c>
      <c r="Z17" s="710">
        <v>0</v>
      </c>
      <c r="AA17" s="711">
        <f>Z17/'État des Résultats'!$E$14</f>
        <v>0</v>
      </c>
      <c r="AC17" s="710">
        <v>0</v>
      </c>
      <c r="AD17" s="711">
        <f>AC17/'État des Résultats'!$E$14</f>
        <v>0</v>
      </c>
      <c r="AF17" s="710">
        <v>0</v>
      </c>
      <c r="AG17" s="711">
        <f>AF17/'État des Résultats'!$E$14</f>
        <v>0</v>
      </c>
      <c r="AI17" s="710">
        <v>0</v>
      </c>
      <c r="AJ17" s="711">
        <f>AI17/'État des Résultats'!$E$14</f>
        <v>0</v>
      </c>
      <c r="AL17" s="710">
        <v>0</v>
      </c>
      <c r="AM17" s="711">
        <f>AL17/'État des Résultats'!$E$14</f>
        <v>0</v>
      </c>
      <c r="AP17" s="712">
        <f t="shared" si="0"/>
        <v>0</v>
      </c>
      <c r="AQ17" s="713">
        <f>AP17/'État des Résultats'!$AP$14</f>
        <v>0</v>
      </c>
    </row>
    <row r="18" spans="2:69" x14ac:dyDescent="0.15">
      <c r="B18" s="709">
        <v>7730</v>
      </c>
      <c r="C18" s="394" t="s">
        <v>332</v>
      </c>
      <c r="E18" s="710">
        <v>0</v>
      </c>
      <c r="F18" s="711">
        <f>E18/'État des Résultats'!$E$14</f>
        <v>0</v>
      </c>
      <c r="H18" s="710">
        <v>0</v>
      </c>
      <c r="I18" s="711">
        <f>H18/'État des Résultats'!$E$14</f>
        <v>0</v>
      </c>
      <c r="K18" s="710">
        <v>0</v>
      </c>
      <c r="L18" s="711">
        <f>K18/'État des Résultats'!$E$14</f>
        <v>0</v>
      </c>
      <c r="N18" s="710">
        <v>0</v>
      </c>
      <c r="O18" s="711">
        <f>N18/'État des Résultats'!$E$14</f>
        <v>0</v>
      </c>
      <c r="Q18" s="710">
        <v>0</v>
      </c>
      <c r="R18" s="711">
        <f>Q18/'État des Résultats'!$E$14</f>
        <v>0</v>
      </c>
      <c r="T18" s="710">
        <v>0</v>
      </c>
      <c r="U18" s="711">
        <f>T18/'État des Résultats'!$E$14</f>
        <v>0</v>
      </c>
      <c r="W18" s="710">
        <v>0</v>
      </c>
      <c r="X18" s="711">
        <f>W18/'État des Résultats'!$E$14</f>
        <v>0</v>
      </c>
      <c r="Z18" s="710">
        <v>0</v>
      </c>
      <c r="AA18" s="711">
        <f>Z18/'État des Résultats'!$E$14</f>
        <v>0</v>
      </c>
      <c r="AC18" s="710">
        <v>0</v>
      </c>
      <c r="AD18" s="711">
        <f>AC18/'État des Résultats'!$E$14</f>
        <v>0</v>
      </c>
      <c r="AF18" s="710">
        <v>0</v>
      </c>
      <c r="AG18" s="711">
        <f>AF18/'État des Résultats'!$E$14</f>
        <v>0</v>
      </c>
      <c r="AI18" s="710">
        <v>0</v>
      </c>
      <c r="AJ18" s="711">
        <f>AI18/'État des Résultats'!$E$14</f>
        <v>0</v>
      </c>
      <c r="AL18" s="710">
        <v>0</v>
      </c>
      <c r="AM18" s="711">
        <f>AL18/'État des Résultats'!$E$14</f>
        <v>0</v>
      </c>
      <c r="AP18" s="712">
        <f t="shared" si="0"/>
        <v>0</v>
      </c>
      <c r="AQ18" s="713">
        <f>AP18/'État des Résultats'!$AP$14</f>
        <v>0</v>
      </c>
      <c r="AS18" s="210"/>
    </row>
    <row r="19" spans="2:69" x14ac:dyDescent="0.15">
      <c r="B19" s="709">
        <v>7790</v>
      </c>
      <c r="C19" s="394" t="s">
        <v>333</v>
      </c>
      <c r="E19" s="710">
        <v>0</v>
      </c>
      <c r="F19" s="711">
        <f>E19/'État des Résultats'!$E$14</f>
        <v>0</v>
      </c>
      <c r="H19" s="710">
        <v>0</v>
      </c>
      <c r="I19" s="711">
        <f>H19/'État des Résultats'!$E$14</f>
        <v>0</v>
      </c>
      <c r="K19" s="710">
        <v>0</v>
      </c>
      <c r="L19" s="711">
        <f>K19/'État des Résultats'!$E$14</f>
        <v>0</v>
      </c>
      <c r="N19" s="710">
        <v>0</v>
      </c>
      <c r="O19" s="711">
        <f>N19/'État des Résultats'!$E$14</f>
        <v>0</v>
      </c>
      <c r="Q19" s="710">
        <v>0</v>
      </c>
      <c r="R19" s="711">
        <f>Q19/'État des Résultats'!$E$14</f>
        <v>0</v>
      </c>
      <c r="T19" s="710">
        <v>0</v>
      </c>
      <c r="U19" s="711">
        <f>T19/'État des Résultats'!$E$14</f>
        <v>0</v>
      </c>
      <c r="W19" s="710">
        <v>0</v>
      </c>
      <c r="X19" s="711">
        <f>W19/'État des Résultats'!$E$14</f>
        <v>0</v>
      </c>
      <c r="Z19" s="710">
        <v>0</v>
      </c>
      <c r="AA19" s="711">
        <f>Z19/'État des Résultats'!$E$14</f>
        <v>0</v>
      </c>
      <c r="AC19" s="710">
        <v>0</v>
      </c>
      <c r="AD19" s="711">
        <f>AC19/'État des Résultats'!$E$14</f>
        <v>0</v>
      </c>
      <c r="AF19" s="710">
        <v>0</v>
      </c>
      <c r="AG19" s="711">
        <f>AF19/'État des Résultats'!$E$14</f>
        <v>0</v>
      </c>
      <c r="AI19" s="710">
        <v>0</v>
      </c>
      <c r="AJ19" s="711">
        <f>AI19/'État des Résultats'!$E$14</f>
        <v>0</v>
      </c>
      <c r="AL19" s="710">
        <v>0</v>
      </c>
      <c r="AM19" s="711">
        <f>AL19/'État des Résultats'!$E$14</f>
        <v>0</v>
      </c>
      <c r="AP19" s="712">
        <f t="shared" si="0"/>
        <v>0</v>
      </c>
      <c r="AQ19" s="713">
        <f>AP19/'État des Résultats'!$AP$14</f>
        <v>0</v>
      </c>
    </row>
    <row r="20" spans="2:69" x14ac:dyDescent="0.15">
      <c r="B20" s="709">
        <v>7795</v>
      </c>
      <c r="C20" s="394" t="s">
        <v>334</v>
      </c>
      <c r="E20" s="710">
        <v>0</v>
      </c>
      <c r="F20" s="711">
        <f>E20/'État des Résultats'!$E$14</f>
        <v>0</v>
      </c>
      <c r="H20" s="710">
        <v>0</v>
      </c>
      <c r="I20" s="711">
        <f>H20/'État des Résultats'!$E$14</f>
        <v>0</v>
      </c>
      <c r="K20" s="710">
        <v>0</v>
      </c>
      <c r="L20" s="711">
        <f>K20/'État des Résultats'!$E$14</f>
        <v>0</v>
      </c>
      <c r="N20" s="710">
        <v>0</v>
      </c>
      <c r="O20" s="711">
        <f>N20/'État des Résultats'!$E$14</f>
        <v>0</v>
      </c>
      <c r="Q20" s="710">
        <v>0</v>
      </c>
      <c r="R20" s="711">
        <f>Q20/'État des Résultats'!$E$14</f>
        <v>0</v>
      </c>
      <c r="T20" s="710">
        <v>0</v>
      </c>
      <c r="U20" s="711">
        <f>T20/'État des Résultats'!$E$14</f>
        <v>0</v>
      </c>
      <c r="W20" s="710">
        <v>0</v>
      </c>
      <c r="X20" s="711">
        <f>W20/'État des Résultats'!$E$14</f>
        <v>0</v>
      </c>
      <c r="Z20" s="710">
        <v>0</v>
      </c>
      <c r="AA20" s="711">
        <f>Z20/'État des Résultats'!$E$14</f>
        <v>0</v>
      </c>
      <c r="AC20" s="710">
        <v>0</v>
      </c>
      <c r="AD20" s="711">
        <f>AC20/'État des Résultats'!$E$14</f>
        <v>0</v>
      </c>
      <c r="AF20" s="710">
        <v>0</v>
      </c>
      <c r="AG20" s="711">
        <f>AF20/'État des Résultats'!$E$14</f>
        <v>0</v>
      </c>
      <c r="AI20" s="710">
        <v>0</v>
      </c>
      <c r="AJ20" s="711">
        <f>AI20/'État des Résultats'!$E$14</f>
        <v>0</v>
      </c>
      <c r="AL20" s="710">
        <v>0</v>
      </c>
      <c r="AM20" s="711">
        <f>AL20/'État des Résultats'!$E$14</f>
        <v>0</v>
      </c>
      <c r="AP20" s="712">
        <f t="shared" si="0"/>
        <v>0</v>
      </c>
      <c r="AQ20" s="713">
        <f>AP20/'État des Résultats'!$AP$14</f>
        <v>0</v>
      </c>
    </row>
    <row r="21" spans="2:69" x14ac:dyDescent="0.15">
      <c r="B21" s="709">
        <v>7799</v>
      </c>
      <c r="C21" s="394" t="s">
        <v>335</v>
      </c>
      <c r="E21" s="710">
        <v>0</v>
      </c>
      <c r="F21" s="711">
        <f>E21/'État des Résultats'!$E$14</f>
        <v>0</v>
      </c>
      <c r="H21" s="710">
        <v>0</v>
      </c>
      <c r="I21" s="711">
        <f>H21/'État des Résultats'!$E$14</f>
        <v>0</v>
      </c>
      <c r="K21" s="710">
        <v>0</v>
      </c>
      <c r="L21" s="711">
        <f>K21/'État des Résultats'!$E$14</f>
        <v>0</v>
      </c>
      <c r="N21" s="710">
        <v>0</v>
      </c>
      <c r="O21" s="711">
        <f>N21/'État des Résultats'!$E$14</f>
        <v>0</v>
      </c>
      <c r="Q21" s="710">
        <v>0</v>
      </c>
      <c r="R21" s="711">
        <f>Q21/'État des Résultats'!$E$14</f>
        <v>0</v>
      </c>
      <c r="T21" s="710">
        <v>0</v>
      </c>
      <c r="U21" s="711">
        <f>T21/'État des Résultats'!$E$14</f>
        <v>0</v>
      </c>
      <c r="W21" s="710">
        <v>0</v>
      </c>
      <c r="X21" s="711">
        <f>W21/'État des Résultats'!$E$14</f>
        <v>0</v>
      </c>
      <c r="Z21" s="710">
        <v>0</v>
      </c>
      <c r="AA21" s="711">
        <f>Z21/'État des Résultats'!$E$14</f>
        <v>0</v>
      </c>
      <c r="AC21" s="710">
        <v>0</v>
      </c>
      <c r="AD21" s="711">
        <f>AC21/'État des Résultats'!$E$14</f>
        <v>0</v>
      </c>
      <c r="AF21" s="710">
        <v>0</v>
      </c>
      <c r="AG21" s="711">
        <f>AF21/'État des Résultats'!$E$14</f>
        <v>0</v>
      </c>
      <c r="AI21" s="710">
        <v>0</v>
      </c>
      <c r="AJ21" s="711">
        <f>AI21/'État des Résultats'!$E$14</f>
        <v>0</v>
      </c>
      <c r="AL21" s="710">
        <v>0</v>
      </c>
      <c r="AM21" s="711">
        <f>AL21/'État des Résultats'!$E$14</f>
        <v>0</v>
      </c>
      <c r="AP21" s="712">
        <f t="shared" si="0"/>
        <v>0</v>
      </c>
      <c r="AQ21" s="713">
        <f>AP21/'État des Résultats'!$AP$14</f>
        <v>0</v>
      </c>
    </row>
    <row r="22" spans="2:69" ht="14" thickBot="1" x14ac:dyDescent="0.2">
      <c r="B22" s="709"/>
      <c r="C22" s="394"/>
      <c r="E22" s="710"/>
      <c r="F22" s="747"/>
      <c r="H22" s="763"/>
      <c r="I22" s="747"/>
      <c r="K22" s="763"/>
      <c r="L22" s="747"/>
      <c r="N22" s="763"/>
      <c r="O22" s="747"/>
      <c r="Q22" s="763"/>
      <c r="R22" s="747"/>
      <c r="T22" s="763"/>
      <c r="U22" s="747"/>
      <c r="W22" s="763"/>
      <c r="X22" s="747"/>
      <c r="Z22" s="763"/>
      <c r="AA22" s="747"/>
      <c r="AC22" s="763"/>
      <c r="AD22" s="747"/>
      <c r="AF22" s="763"/>
      <c r="AG22" s="747"/>
      <c r="AI22" s="763"/>
      <c r="AJ22" s="747"/>
      <c r="AL22" s="763"/>
      <c r="AM22" s="747"/>
      <c r="AP22" s="712"/>
      <c r="AQ22" s="748"/>
    </row>
    <row r="23" spans="2:69" ht="15" thickTop="1" thickBot="1" x14ac:dyDescent="0.2">
      <c r="B23" s="499">
        <v>7700</v>
      </c>
      <c r="C23" s="500" t="s">
        <v>336</v>
      </c>
      <c r="D23" s="214"/>
      <c r="E23" s="719">
        <f>SUM(E13:E21)</f>
        <v>1000</v>
      </c>
      <c r="F23" s="720">
        <f>SUM(F13:F21)</f>
        <v>2.6106150217398965E-2</v>
      </c>
      <c r="G23" s="214"/>
      <c r="H23" s="721">
        <f>SUM(H13:H22)</f>
        <v>1000</v>
      </c>
      <c r="I23" s="720">
        <f>SUM(I13:I22)</f>
        <v>2.6106150217398965E-2</v>
      </c>
      <c r="J23" s="214"/>
      <c r="K23" s="719">
        <f>SUM(K13:K22)</f>
        <v>1000</v>
      </c>
      <c r="L23" s="720">
        <f>SUM(L13:L22)</f>
        <v>2.6106150217398965E-2</v>
      </c>
      <c r="M23" s="214"/>
      <c r="N23" s="719">
        <f>SUM(N13:N22)</f>
        <v>1000</v>
      </c>
      <c r="O23" s="720">
        <f>SUM(O13:O22)</f>
        <v>2.6106150217398965E-2</v>
      </c>
      <c r="P23" s="214"/>
      <c r="Q23" s="719">
        <f>SUM(Q13:Q22)</f>
        <v>1000</v>
      </c>
      <c r="R23" s="720">
        <f>SUM(R13:R22)</f>
        <v>2.6106150217398965E-2</v>
      </c>
      <c r="S23" s="214"/>
      <c r="T23" s="719">
        <f>SUM(T13:T22)</f>
        <v>1000</v>
      </c>
      <c r="U23" s="720">
        <f>SUM(U13:U22)</f>
        <v>2.6106150217398965E-2</v>
      </c>
      <c r="V23" s="214"/>
      <c r="W23" s="719">
        <f>SUM(W13:W22)</f>
        <v>1000</v>
      </c>
      <c r="X23" s="720">
        <f>SUM(X13:X22)</f>
        <v>2.6106150217398965E-2</v>
      </c>
      <c r="Y23" s="214"/>
      <c r="Z23" s="719">
        <f>SUM(Z13:Z22)</f>
        <v>1000</v>
      </c>
      <c r="AA23" s="720">
        <f>SUM(AA13:AA22)</f>
        <v>2.6106150217398965E-2</v>
      </c>
      <c r="AB23" s="214"/>
      <c r="AC23" s="719">
        <f>SUM(AC13:AC22)</f>
        <v>1000</v>
      </c>
      <c r="AD23" s="720">
        <f>SUM(AD13:AD22)</f>
        <v>2.6106150217398965E-2</v>
      </c>
      <c r="AE23" s="214"/>
      <c r="AF23" s="719">
        <f>SUM(AF13:AF22)</f>
        <v>1000</v>
      </c>
      <c r="AG23" s="720">
        <f>SUM(AG13:AG22)</f>
        <v>2.6106150217398965E-2</v>
      </c>
      <c r="AH23" s="214"/>
      <c r="AI23" s="719">
        <f>SUM(AI13:AI22)</f>
        <v>1000</v>
      </c>
      <c r="AJ23" s="720">
        <f>SUM(AJ13:AJ22)</f>
        <v>2.6106150217398965E-2</v>
      </c>
      <c r="AK23" s="214"/>
      <c r="AL23" s="719">
        <f>SUM(AL13:AL22)</f>
        <v>1000</v>
      </c>
      <c r="AM23" s="720">
        <f>SUM(AM13:AM22)</f>
        <v>2.6106150217398965E-2</v>
      </c>
      <c r="AN23" s="214"/>
      <c r="AO23" s="214"/>
      <c r="AP23" s="719">
        <f>SUM(AP13:AP21)</f>
        <v>12000</v>
      </c>
      <c r="AQ23" s="720">
        <f>SUM(AQ13:AQ21)</f>
        <v>2.1227295914475225E-2</v>
      </c>
      <c r="AR23" s="214"/>
      <c r="AS23" s="214"/>
      <c r="AT23" s="214"/>
      <c r="AU23" s="252"/>
    </row>
    <row r="24" spans="2:69" ht="14" thickTop="1" x14ac:dyDescent="0.15">
      <c r="L24" s="316"/>
      <c r="O24" s="316"/>
      <c r="R24" s="316"/>
      <c r="U24" s="316"/>
      <c r="X24" s="316"/>
      <c r="AA24" s="316"/>
      <c r="AD24" s="316"/>
      <c r="AG24" s="316"/>
      <c r="AJ24" s="316"/>
      <c r="AM24" s="316"/>
      <c r="AQ24" s="316"/>
    </row>
    <row r="25" spans="2:69" x14ac:dyDescent="0.15">
      <c r="R25" s="316"/>
      <c r="U25" s="316"/>
      <c r="X25" s="316"/>
      <c r="AD25" s="316"/>
      <c r="AG25" s="316"/>
      <c r="AJ25" s="316"/>
      <c r="AM25" s="316"/>
    </row>
    <row r="26" spans="2:69" x14ac:dyDescent="0.15">
      <c r="U26" s="316"/>
      <c r="AG26" s="316"/>
      <c r="AJ26" s="316"/>
      <c r="AM26" s="316"/>
    </row>
    <row r="27" spans="2:69" x14ac:dyDescent="0.15">
      <c r="C27" s="161" t="s">
        <v>2</v>
      </c>
      <c r="E27" s="161" t="s">
        <v>2</v>
      </c>
      <c r="G27" s="161" t="s">
        <v>2</v>
      </c>
      <c r="H27" s="161" t="s">
        <v>2</v>
      </c>
      <c r="U27" s="316"/>
      <c r="AG27" s="316"/>
      <c r="AJ27" s="316"/>
      <c r="AM27" s="316"/>
    </row>
    <row r="28" spans="2:69" x14ac:dyDescent="0.15">
      <c r="H28" s="161" t="s">
        <v>2</v>
      </c>
      <c r="AG28" s="316"/>
      <c r="AJ28" s="316"/>
      <c r="AM28" s="316"/>
    </row>
    <row r="29" spans="2:69" x14ac:dyDescent="0.15">
      <c r="H29" s="161" t="s">
        <v>2</v>
      </c>
      <c r="AM29" s="316"/>
    </row>
    <row r="30" spans="2:69" x14ac:dyDescent="0.15">
      <c r="H30" s="161" t="s">
        <v>2</v>
      </c>
      <c r="BB30" s="170"/>
      <c r="BC30" s="170"/>
      <c r="BD30" s="170"/>
      <c r="BE30" s="170"/>
      <c r="BF30" s="170"/>
      <c r="BG30" s="170"/>
      <c r="BH30" s="170"/>
      <c r="BI30" s="170"/>
      <c r="BJ30" s="170"/>
      <c r="BK30" s="170"/>
      <c r="BL30" s="170"/>
      <c r="BM30" s="170"/>
      <c r="BN30" s="170"/>
      <c r="BO30" s="170"/>
      <c r="BP30" s="170"/>
      <c r="BQ30" s="170"/>
    </row>
    <row r="31" spans="2:69" x14ac:dyDescent="0.15">
      <c r="H31" s="161" t="s">
        <v>2</v>
      </c>
    </row>
    <row r="32" spans="2:69" x14ac:dyDescent="0.15">
      <c r="H32" s="161" t="s">
        <v>2</v>
      </c>
    </row>
    <row r="42" spans="8:8" x14ac:dyDescent="0.15">
      <c r="H42" s="722"/>
    </row>
  </sheetData>
  <sheetProtection algorithmName="SHA-512" hashValue="jLEWZSKGm21JwD6m18SO/4VVJsk+5La+JDJdkMd61YNgXmwu1IbmF/gLj2wMe4teZusez0EhpZZVoVZ5b5Kyow==" saltValue="LNx/6H3iA5TvG2ZkOz4aDw=="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82DF6343-788C-8E4A-99E0-8A91E88FD207}"/>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D2DDD-E0B6-8E43-BE60-CDEC8FC05357}">
  <sheetPr>
    <tabColor theme="1"/>
    <pageSetUpPr fitToPage="1"/>
  </sheetPr>
  <dimension ref="B1:BQ48"/>
  <sheetViews>
    <sheetView zoomScale="125" zoomScaleNormal="125" zoomScalePageLayoutView="125" workbookViewId="0">
      <selection activeCell="A38" sqref="A38"/>
    </sheetView>
  </sheetViews>
  <sheetFormatPr baseColWidth="10" defaultRowHeight="13" x14ac:dyDescent="0.15"/>
  <cols>
    <col min="1" max="1" width="2.1640625" style="161" customWidth="1"/>
    <col min="2" max="2" width="5.1640625" style="161" customWidth="1"/>
    <col min="3" max="3" width="46.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3"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0" t="str">
        <f>'Coût marchandises vendues'!B2</f>
        <v xml:space="preserve">Entreprise de restauration alimentaire 12 inc. </v>
      </c>
      <c r="C2" s="941"/>
      <c r="AS2" s="898" t="s">
        <v>42</v>
      </c>
      <c r="AT2" s="369"/>
      <c r="AU2" s="369"/>
      <c r="AV2" s="369"/>
      <c r="AW2" s="369"/>
      <c r="AX2" s="369"/>
      <c r="AY2" s="369"/>
      <c r="AZ2" s="369"/>
      <c r="BA2" s="369"/>
      <c r="BB2" s="369"/>
      <c r="BC2" s="901" t="s">
        <v>43</v>
      </c>
    </row>
    <row r="3" spans="2:56" ht="20" customHeight="1" x14ac:dyDescent="0.2">
      <c r="B3" s="942" t="str">
        <f>'Coût marchandises vendues'!B3</f>
        <v xml:space="preserve">États des résultats prévisionnels </v>
      </c>
      <c r="C3" s="943"/>
      <c r="AS3" s="899"/>
      <c r="AT3" s="370"/>
      <c r="AU3" s="370"/>
      <c r="AV3" s="370"/>
      <c r="AW3" s="370"/>
      <c r="AX3" s="370"/>
      <c r="AY3" s="370"/>
      <c r="AZ3" s="370"/>
      <c r="BA3" s="370"/>
      <c r="BB3" s="370"/>
      <c r="BC3" s="902"/>
    </row>
    <row r="4" spans="2:56" ht="20" customHeight="1" thickBot="1" x14ac:dyDescent="0.3">
      <c r="B4" s="944" t="str">
        <f>'Coût marchandises vendues'!B4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16" t="str">
        <f>'Coût marchandises vendues'!B6</f>
        <v>Nb de places</v>
      </c>
      <c r="C6" s="946"/>
      <c r="E6" s="693" t="str">
        <f>'Services publics'!E6</f>
        <v>Coût / place / jour</v>
      </c>
      <c r="F6" s="694">
        <f>+E29/$B$7/'Calendrier 2021'!D8</f>
        <v>0.64516129032258063</v>
      </c>
      <c r="G6" s="170"/>
      <c r="H6" s="693" t="str">
        <f>+E6</f>
        <v>Coût / place / jour</v>
      </c>
      <c r="I6" s="694">
        <f>+H29/$B$7/'Calendrier 2021'!E8</f>
        <v>0.7142857142857143</v>
      </c>
      <c r="J6" s="170"/>
      <c r="K6" s="693" t="str">
        <f>+H6</f>
        <v>Coût / place / jour</v>
      </c>
      <c r="L6" s="694">
        <f>+K29/$B$7/'Calendrier 2021'!F8</f>
        <v>0.64516129032258063</v>
      </c>
      <c r="M6" s="170"/>
      <c r="N6" s="693" t="str">
        <f>+K6</f>
        <v>Coût / place / jour</v>
      </c>
      <c r="O6" s="694">
        <f>+N29/$B$7/'Calendrier 2021'!G8</f>
        <v>0.66666666666666663</v>
      </c>
      <c r="P6" s="436"/>
      <c r="Q6" s="693" t="str">
        <f>+N6</f>
        <v>Coût / place / jour</v>
      </c>
      <c r="R6" s="694">
        <f>+Q29/$B$7/'Calendrier 2021'!H8</f>
        <v>0.65419354838709676</v>
      </c>
      <c r="S6" s="436"/>
      <c r="T6" s="693" t="str">
        <f>+Q6</f>
        <v>Coût / place / jour</v>
      </c>
      <c r="U6" s="694">
        <f>+T29/$B$7/'Calendrier 2021'!I8</f>
        <v>0.67600000000000005</v>
      </c>
      <c r="V6" s="170"/>
      <c r="W6" s="693" t="str">
        <f>+T6</f>
        <v>Coût / place / jour</v>
      </c>
      <c r="X6" s="694">
        <f>+W29/$B$7/'Calendrier 2021'!J8</f>
        <v>0.65419354838709676</v>
      </c>
      <c r="Y6" s="170"/>
      <c r="Z6" s="693" t="str">
        <f>+W6</f>
        <v>Coût / place / jour</v>
      </c>
      <c r="AA6" s="694">
        <f>+Z29/$B$7/'Calendrier 2021'!K8</f>
        <v>0.65419354838709676</v>
      </c>
      <c r="AB6" s="170"/>
      <c r="AC6" s="693" t="str">
        <f>+Z6</f>
        <v>Coût / place / jour</v>
      </c>
      <c r="AD6" s="694">
        <f>+AC29/$B$7/'Calendrier 2021'!L8</f>
        <v>0.67600000000000005</v>
      </c>
      <c r="AE6" s="170"/>
      <c r="AF6" s="693" t="str">
        <f>+AC6</f>
        <v>Coût / place / jour</v>
      </c>
      <c r="AG6" s="694">
        <f>+AF29/$B$7/'Calendrier 2021'!M8</f>
        <v>0.65419354838709676</v>
      </c>
      <c r="AH6" s="170"/>
      <c r="AI6" s="693" t="str">
        <f>+AF6</f>
        <v>Coût / place / jour</v>
      </c>
      <c r="AJ6" s="694">
        <f>+AI29/$B$7/'Calendrier 2021'!N8</f>
        <v>0.67600000000000005</v>
      </c>
      <c r="AK6" s="170"/>
      <c r="AL6" s="693" t="str">
        <f>+AI6</f>
        <v>Coût / place / jour</v>
      </c>
      <c r="AM6" s="694">
        <f>+AL29/$B$7/'Calendrier 2021'!O8</f>
        <v>0.65419354838709676</v>
      </c>
      <c r="AN6" s="170"/>
      <c r="AO6" s="170"/>
      <c r="AP6" s="695" t="str">
        <f>+AL6</f>
        <v>Coût / place / jour</v>
      </c>
      <c r="AQ6" s="696">
        <f>+AP29/$B$7/'% Occupation'!P9</f>
        <v>0.66367123287671237</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48">
        <f>'Coût marchandises vendues'!B7</f>
        <v>50</v>
      </c>
      <c r="C7" s="947"/>
      <c r="E7" s="438">
        <f>+E29/$AP29</f>
        <v>8.2562747688243066E-2</v>
      </c>
      <c r="F7" s="697"/>
      <c r="H7" s="438">
        <f>+H29/$AP29</f>
        <v>8.2562747688243066E-2</v>
      </c>
      <c r="I7" s="697"/>
      <c r="K7" s="438">
        <f>+K29/$AP29</f>
        <v>8.2562747688243066E-2</v>
      </c>
      <c r="L7" s="439"/>
      <c r="N7" s="438">
        <f>+N29/$AP29</f>
        <v>8.2562747688243066E-2</v>
      </c>
      <c r="O7" s="439"/>
      <c r="P7" s="698"/>
      <c r="Q7" s="438">
        <f>+Q29/$AP29</f>
        <v>8.3718626155878467E-2</v>
      </c>
      <c r="R7" s="439"/>
      <c r="S7" s="698"/>
      <c r="T7" s="438">
        <f>+T29/$AP29</f>
        <v>8.3718626155878467E-2</v>
      </c>
      <c r="U7" s="439"/>
      <c r="W7" s="438">
        <f>+W29/$AP29</f>
        <v>8.3718626155878467E-2</v>
      </c>
      <c r="X7" s="439"/>
      <c r="Z7" s="438">
        <f>+Z29/$AP29</f>
        <v>8.3718626155878467E-2</v>
      </c>
      <c r="AA7" s="439"/>
      <c r="AC7" s="438">
        <f>+AC29/$AP29</f>
        <v>8.3718626155878467E-2</v>
      </c>
      <c r="AD7" s="439"/>
      <c r="AF7" s="438">
        <f>+AF29/$AP29</f>
        <v>8.3718626155878467E-2</v>
      </c>
      <c r="AG7" s="439"/>
      <c r="AI7" s="438">
        <f>+AI29/$AP29</f>
        <v>8.3718626155878467E-2</v>
      </c>
      <c r="AJ7" s="439"/>
      <c r="AL7" s="438">
        <f>+AL29/$AP29</f>
        <v>8.3718626155878467E-2</v>
      </c>
      <c r="AM7" s="439"/>
      <c r="AP7" s="699">
        <f>+AP29/$AP29</f>
        <v>1</v>
      </c>
      <c r="AQ7" s="700" t="s">
        <v>137</v>
      </c>
      <c r="AS7" s="899"/>
      <c r="AT7" s="684">
        <f>AP29</f>
        <v>12112</v>
      </c>
      <c r="AU7" s="371" t="s">
        <v>44</v>
      </c>
      <c r="AV7" s="685">
        <f>'Formule pour le calcul D'!G114</f>
        <v>22875</v>
      </c>
      <c r="AW7" s="371" t="s">
        <v>45</v>
      </c>
      <c r="AX7" s="371" t="s">
        <v>46</v>
      </c>
      <c r="AY7" s="686">
        <f>'Formule pour le calcul D'!J106</f>
        <v>2.2200000000000002</v>
      </c>
      <c r="AZ7" s="371" t="s">
        <v>45</v>
      </c>
      <c r="BA7" s="687">
        <f>AT7/AV7/AY7</f>
        <v>0.23850735981883522</v>
      </c>
      <c r="BB7" s="371" t="s">
        <v>49</v>
      </c>
      <c r="BC7" s="902"/>
    </row>
    <row r="8" spans="2:56" ht="17" thickBot="1" x14ac:dyDescent="0.25">
      <c r="B8" s="920" t="s">
        <v>338</v>
      </c>
      <c r="C8" s="947"/>
      <c r="E8" s="702" t="str">
        <f>'Mark &amp; Communication marketing'!E8</f>
        <v>Pér.01</v>
      </c>
      <c r="F8" s="701" t="str">
        <f>'Mark &amp; Communication marketing'!F8</f>
        <v>(%)</v>
      </c>
      <c r="G8" s="385"/>
      <c r="H8" s="702" t="str">
        <f>'Mark &amp; Communication marketing'!H8</f>
        <v>Pér.02</v>
      </c>
      <c r="I8" s="701" t="str">
        <f>F8</f>
        <v>(%)</v>
      </c>
      <c r="J8" s="385"/>
      <c r="K8" s="702" t="str">
        <f>'Mark &amp; Communication marketing'!K8</f>
        <v>Pér.03</v>
      </c>
      <c r="L8" s="701" t="str">
        <f>I8</f>
        <v>(%)</v>
      </c>
      <c r="M8" s="385"/>
      <c r="N8" s="702" t="str">
        <f>'Mark &amp; Communication marketing'!N8</f>
        <v>Pér.04</v>
      </c>
      <c r="O8" s="701" t="str">
        <f>L8</f>
        <v>(%)</v>
      </c>
      <c r="P8" s="440"/>
      <c r="Q8" s="702" t="str">
        <f>'Mark &amp; Communication marketing'!Q8</f>
        <v>Pér.05</v>
      </c>
      <c r="R8" s="701" t="str">
        <f>O8</f>
        <v>(%)</v>
      </c>
      <c r="S8" s="440"/>
      <c r="T8" s="702" t="str">
        <f>'Mark &amp; Communication marketing'!T8</f>
        <v>Pér.06</v>
      </c>
      <c r="U8" s="701" t="str">
        <f>R8</f>
        <v>(%)</v>
      </c>
      <c r="V8" s="385"/>
      <c r="W8" s="702" t="str">
        <f>'Mark &amp; Communication marketing'!W8</f>
        <v>Pér.07</v>
      </c>
      <c r="X8" s="701" t="str">
        <f>U8</f>
        <v>(%)</v>
      </c>
      <c r="Y8" s="385"/>
      <c r="Z8" s="702" t="str">
        <f>'Mark &amp; Communication marketing'!Z8</f>
        <v>Pér.08</v>
      </c>
      <c r="AA8" s="701" t="str">
        <f>X8</f>
        <v>(%)</v>
      </c>
      <c r="AB8" s="385"/>
      <c r="AC8" s="702" t="str">
        <f>'Mark &amp; Communication marketing'!AC8</f>
        <v>Pér.09</v>
      </c>
      <c r="AD8" s="701" t="str">
        <f>AA8</f>
        <v>(%)</v>
      </c>
      <c r="AE8" s="385"/>
      <c r="AF8" s="702" t="str">
        <f>'Mark &amp; Communication marketing'!AF8</f>
        <v>Pér.10</v>
      </c>
      <c r="AG8" s="701" t="str">
        <f>AD8</f>
        <v>(%)</v>
      </c>
      <c r="AH8" s="385"/>
      <c r="AI8" s="702" t="str">
        <f>'Mark &amp; Communication marketing'!AI8</f>
        <v>Pér.11</v>
      </c>
      <c r="AJ8" s="701" t="str">
        <f>AG8</f>
        <v>(%)</v>
      </c>
      <c r="AK8" s="385"/>
      <c r="AL8" s="702" t="str">
        <f>'Mark &amp; Communication marketing'!AL8</f>
        <v>Pér.12</v>
      </c>
      <c r="AM8" s="701" t="str">
        <f>AJ8</f>
        <v>(%)</v>
      </c>
      <c r="AN8" s="703" t="s">
        <v>2</v>
      </c>
      <c r="AO8" s="385"/>
      <c r="AP8" s="704" t="str">
        <f>'Musique &amp; Divertissement'!AP8</f>
        <v>Total</v>
      </c>
      <c r="AQ8" s="701" t="str">
        <f>AM8</f>
        <v>(%)</v>
      </c>
      <c r="AS8" s="900"/>
      <c r="AT8" s="376"/>
      <c r="AU8" s="376"/>
      <c r="AV8" s="376"/>
      <c r="AW8" s="376"/>
      <c r="AX8" s="376"/>
      <c r="AY8" s="376"/>
      <c r="AZ8" s="376"/>
      <c r="BA8" s="376"/>
      <c r="BB8" s="376"/>
      <c r="BC8" s="903"/>
    </row>
    <row r="9" spans="2:56" ht="15" thickTop="1" thickBot="1" x14ac:dyDescent="0.2">
      <c r="B9" s="956">
        <f>AP29/$B$7</f>
        <v>242.24</v>
      </c>
      <c r="C9" s="957"/>
      <c r="E9" s="723" t="str">
        <f>'Mark &amp; Communication marketing'!E9</f>
        <v>Janvier 2021</v>
      </c>
      <c r="F9" s="724"/>
      <c r="G9" s="294"/>
      <c r="H9" s="725" t="str">
        <f>'Mark &amp; Communication marketing'!H9</f>
        <v>Février 2021</v>
      </c>
      <c r="I9" s="726"/>
      <c r="J9" s="294"/>
      <c r="K9" s="725" t="str">
        <f>'Mark &amp; Communication marketing'!K9</f>
        <v>Mars 2021</v>
      </c>
      <c r="L9" s="726"/>
      <c r="M9" s="294"/>
      <c r="N9" s="723" t="str">
        <f>'Mark &amp; Communication marketing'!N9</f>
        <v>Avril 2021</v>
      </c>
      <c r="O9" s="724"/>
      <c r="P9" s="727"/>
      <c r="Q9" s="723" t="str">
        <f>'Mark &amp; Communication marketing'!Q9</f>
        <v>Mai 2021</v>
      </c>
      <c r="R9" s="724"/>
      <c r="S9" s="727"/>
      <c r="T9" s="725" t="str">
        <f>'Mark &amp; Communication marketing'!T9</f>
        <v>Juin 2021</v>
      </c>
      <c r="U9" s="726"/>
      <c r="V9" s="294"/>
      <c r="W9" s="725" t="str">
        <f>'Mark &amp; Communication marketing'!W9</f>
        <v>Juillet 2021</v>
      </c>
      <c r="X9" s="726"/>
      <c r="Y9" s="294"/>
      <c r="Z9" s="725" t="str">
        <f>'Mark &amp; Communication marketing'!Z9</f>
        <v>Août 2021</v>
      </c>
      <c r="AA9" s="726"/>
      <c r="AB9" s="294"/>
      <c r="AC9" s="725" t="str">
        <f>'Mark &amp; Communication marketing'!AC9</f>
        <v>Septembre 2021</v>
      </c>
      <c r="AD9" s="726"/>
      <c r="AE9" s="294"/>
      <c r="AF9" s="725" t="str">
        <f>'Mark &amp; Communication marketing'!AF9</f>
        <v>Octobre 2021</v>
      </c>
      <c r="AG9" s="726"/>
      <c r="AH9" s="294"/>
      <c r="AI9" s="725" t="str">
        <f>'Mark &amp; Communication marketing'!AI9</f>
        <v>Novembre 2021</v>
      </c>
      <c r="AJ9" s="726"/>
      <c r="AK9" s="294"/>
      <c r="AL9" s="725" t="str">
        <f>'Mark &amp; Communication marketing'!AL9</f>
        <v>Décembre 2021</v>
      </c>
      <c r="AM9" s="726"/>
      <c r="AN9" s="294"/>
      <c r="AO9" s="294"/>
      <c r="AP9" s="728" t="str">
        <f>'Mark &amp; Communication marketing'!AP9</f>
        <v>Année</v>
      </c>
      <c r="AQ9" s="729"/>
      <c r="AR9" s="762"/>
      <c r="AS9" s="762"/>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4" thickTop="1" x14ac:dyDescent="0.15">
      <c r="B11" s="706"/>
      <c r="C11" s="776" t="s">
        <v>339</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191">
        <v>7805</v>
      </c>
      <c r="C13" s="394" t="s">
        <v>340</v>
      </c>
      <c r="E13" s="710">
        <v>0</v>
      </c>
      <c r="F13" s="711">
        <f>E13/'État des Résultats'!$E$14</f>
        <v>0</v>
      </c>
      <c r="H13" s="710">
        <v>0</v>
      </c>
      <c r="I13" s="711">
        <f>H13/'État des Résultats'!$E$14</f>
        <v>0</v>
      </c>
      <c r="K13" s="710">
        <v>0</v>
      </c>
      <c r="L13" s="711">
        <f>K13/'État des Résultats'!$E$14</f>
        <v>0</v>
      </c>
      <c r="N13" s="710">
        <v>0</v>
      </c>
      <c r="O13" s="711">
        <f>N13/'État des Résultats'!$E$14</f>
        <v>0</v>
      </c>
      <c r="Q13" s="710">
        <v>1</v>
      </c>
      <c r="R13" s="711">
        <f>Q13/'État des Résultats'!$E$14</f>
        <v>2.6106150217398965E-5</v>
      </c>
      <c r="T13" s="710">
        <v>1</v>
      </c>
      <c r="U13" s="711">
        <f>T13/'État des Résultats'!$E$14</f>
        <v>2.6106150217398965E-5</v>
      </c>
      <c r="W13" s="710">
        <v>1</v>
      </c>
      <c r="X13" s="711">
        <f>W13/'État des Résultats'!$E$14</f>
        <v>2.6106150217398965E-5</v>
      </c>
      <c r="Z13" s="710">
        <v>1</v>
      </c>
      <c r="AA13" s="711">
        <f>Z13/'État des Résultats'!$E$14</f>
        <v>2.6106150217398965E-5</v>
      </c>
      <c r="AC13" s="710">
        <v>1</v>
      </c>
      <c r="AD13" s="711">
        <f>AC13/'État des Résultats'!$E$14</f>
        <v>2.6106150217398965E-5</v>
      </c>
      <c r="AF13" s="710">
        <v>1</v>
      </c>
      <c r="AG13" s="711">
        <f>AF13/'État des Résultats'!$E$14</f>
        <v>2.6106150217398965E-5</v>
      </c>
      <c r="AI13" s="710">
        <v>1</v>
      </c>
      <c r="AJ13" s="711">
        <f>AI13/'État des Résultats'!$E$14</f>
        <v>2.6106150217398965E-5</v>
      </c>
      <c r="AL13" s="710">
        <v>1</v>
      </c>
      <c r="AM13" s="711">
        <f>AL13/'État des Résultats'!$E$14</f>
        <v>2.6106150217398965E-5</v>
      </c>
      <c r="AP13" s="712">
        <f>SUM(+$AL13+$AI13+$AF13+$AC13+$Z13+$W13+$T13+$Q13+$N13+$K13+$H13+$E13)</f>
        <v>8</v>
      </c>
      <c r="AQ13" s="713">
        <f>AP13/'État des Résultats'!$AP$14</f>
        <v>1.415153060965015E-5</v>
      </c>
    </row>
    <row r="14" spans="2:56" x14ac:dyDescent="0.15">
      <c r="B14" s="191">
        <v>7810</v>
      </c>
      <c r="C14" s="394" t="s">
        <v>341</v>
      </c>
      <c r="E14" s="710">
        <v>0</v>
      </c>
      <c r="F14" s="711">
        <f>E14/'État des Résultats'!$E$14</f>
        <v>0</v>
      </c>
      <c r="H14" s="710">
        <v>0</v>
      </c>
      <c r="I14" s="711">
        <f>H14/'État des Résultats'!$E$14</f>
        <v>0</v>
      </c>
      <c r="K14" s="710">
        <v>0</v>
      </c>
      <c r="L14" s="711">
        <f>K14/'État des Résultats'!$E$14</f>
        <v>0</v>
      </c>
      <c r="N14" s="710">
        <v>0</v>
      </c>
      <c r="O14" s="711">
        <f>N14/'État des Résultats'!$E$14</f>
        <v>0</v>
      </c>
      <c r="Q14" s="710">
        <v>1</v>
      </c>
      <c r="R14" s="711">
        <f>Q14/'État des Résultats'!$E$14</f>
        <v>2.6106150217398965E-5</v>
      </c>
      <c r="T14" s="710">
        <v>1</v>
      </c>
      <c r="U14" s="711">
        <f>T14/'État des Résultats'!$E$14</f>
        <v>2.6106150217398965E-5</v>
      </c>
      <c r="W14" s="710">
        <v>1</v>
      </c>
      <c r="X14" s="711">
        <f>W14/'État des Résultats'!$E$14</f>
        <v>2.6106150217398965E-5</v>
      </c>
      <c r="Z14" s="710">
        <v>1</v>
      </c>
      <c r="AA14" s="711">
        <f>Z14/'État des Résultats'!$E$14</f>
        <v>2.6106150217398965E-5</v>
      </c>
      <c r="AC14" s="710">
        <v>1</v>
      </c>
      <c r="AD14" s="711">
        <f>AC14/'État des Résultats'!$E$14</f>
        <v>2.6106150217398965E-5</v>
      </c>
      <c r="AF14" s="710">
        <v>1</v>
      </c>
      <c r="AG14" s="711">
        <f>AF14/'État des Résultats'!$E$14</f>
        <v>2.6106150217398965E-5</v>
      </c>
      <c r="AI14" s="710">
        <v>1</v>
      </c>
      <c r="AJ14" s="711">
        <f>AI14/'État des Résultats'!$E$14</f>
        <v>2.6106150217398965E-5</v>
      </c>
      <c r="AL14" s="710">
        <v>1</v>
      </c>
      <c r="AM14" s="711">
        <f>AL14/'État des Résultats'!$E$14</f>
        <v>2.6106150217398965E-5</v>
      </c>
      <c r="AP14" s="712">
        <f>SUM(+$AL14+$AI14+$AF14+$AC14+$Z14+$W14+$T14+$Q14+$N14+$K14+$H14+$E14)</f>
        <v>8</v>
      </c>
      <c r="AQ14" s="713">
        <f>AP14/'État des Résultats'!$AP$14</f>
        <v>1.415153060965015E-5</v>
      </c>
    </row>
    <row r="15" spans="2:56" x14ac:dyDescent="0.15">
      <c r="B15" s="777">
        <v>7815</v>
      </c>
      <c r="C15" s="778" t="s">
        <v>342</v>
      </c>
      <c r="E15" s="710">
        <v>0</v>
      </c>
      <c r="F15" s="711">
        <f>E15/'État des Résultats'!$E$14</f>
        <v>0</v>
      </c>
      <c r="G15" s="716" t="s">
        <v>2</v>
      </c>
      <c r="H15" s="710">
        <v>0</v>
      </c>
      <c r="I15" s="711">
        <f>H15/'État des Résultats'!$E$14</f>
        <v>0</v>
      </c>
      <c r="K15" s="710">
        <v>0</v>
      </c>
      <c r="L15" s="711">
        <f>K15/'État des Résultats'!$E$14</f>
        <v>0</v>
      </c>
      <c r="N15" s="710">
        <v>0</v>
      </c>
      <c r="O15" s="711">
        <f>N15/'État des Résultats'!$E$14</f>
        <v>0</v>
      </c>
      <c r="Q15" s="710">
        <v>1</v>
      </c>
      <c r="R15" s="711">
        <f>Q15/'État des Résultats'!$E$14</f>
        <v>2.6106150217398965E-5</v>
      </c>
      <c r="T15" s="710">
        <v>1</v>
      </c>
      <c r="U15" s="711">
        <f>T15/'État des Résultats'!$E$14</f>
        <v>2.6106150217398965E-5</v>
      </c>
      <c r="W15" s="710">
        <v>1</v>
      </c>
      <c r="X15" s="711">
        <f>W15/'État des Résultats'!$E$14</f>
        <v>2.6106150217398965E-5</v>
      </c>
      <c r="Z15" s="710">
        <v>1</v>
      </c>
      <c r="AA15" s="711">
        <f>Z15/'État des Résultats'!$E$14</f>
        <v>2.6106150217398965E-5</v>
      </c>
      <c r="AC15" s="710">
        <v>1</v>
      </c>
      <c r="AD15" s="711">
        <f>AC15/'État des Résultats'!$E$14</f>
        <v>2.6106150217398965E-5</v>
      </c>
      <c r="AF15" s="710">
        <v>1</v>
      </c>
      <c r="AG15" s="711">
        <f>AF15/'État des Résultats'!$E$14</f>
        <v>2.6106150217398965E-5</v>
      </c>
      <c r="AI15" s="710">
        <v>1</v>
      </c>
      <c r="AJ15" s="711">
        <f>AI15/'État des Résultats'!$E$14</f>
        <v>2.6106150217398965E-5</v>
      </c>
      <c r="AL15" s="710">
        <v>1</v>
      </c>
      <c r="AM15" s="711">
        <f>AL15/'État des Résultats'!$E$14</f>
        <v>2.6106150217398965E-5</v>
      </c>
      <c r="AP15" s="712">
        <f t="shared" ref="AP15:AP27" si="0">SUM(+$AL15+$AI15+$AF15+$AC15+$Z15+$W15+$T15+$Q15+$N15+$K15+$H15+$E15)</f>
        <v>8</v>
      </c>
      <c r="AQ15" s="713">
        <f>AP15/'État des Résultats'!$AP$14</f>
        <v>1.415153060965015E-5</v>
      </c>
    </row>
    <row r="16" spans="2:56" x14ac:dyDescent="0.15">
      <c r="B16" s="191">
        <v>7820</v>
      </c>
      <c r="C16" s="394" t="s">
        <v>343</v>
      </c>
      <c r="E16" s="710">
        <v>0</v>
      </c>
      <c r="F16" s="711">
        <f>E16/'État des Résultats'!$E$14</f>
        <v>0</v>
      </c>
      <c r="H16" s="710">
        <v>0</v>
      </c>
      <c r="I16" s="711">
        <f>H16/'État des Résultats'!$E$14</f>
        <v>0</v>
      </c>
      <c r="K16" s="710">
        <v>0</v>
      </c>
      <c r="L16" s="711">
        <f>K16/'État des Résultats'!$E$14</f>
        <v>0</v>
      </c>
      <c r="N16" s="710">
        <v>0</v>
      </c>
      <c r="O16" s="711">
        <f>N16/'État des Résultats'!$E$14</f>
        <v>0</v>
      </c>
      <c r="Q16" s="710">
        <v>1</v>
      </c>
      <c r="R16" s="711">
        <f>Q16/'État des Résultats'!$E$14</f>
        <v>2.6106150217398965E-5</v>
      </c>
      <c r="T16" s="710">
        <v>1</v>
      </c>
      <c r="U16" s="711">
        <f>T16/'État des Résultats'!$E$14</f>
        <v>2.6106150217398965E-5</v>
      </c>
      <c r="W16" s="710">
        <v>1</v>
      </c>
      <c r="X16" s="711">
        <f>W16/'État des Résultats'!$E$14</f>
        <v>2.6106150217398965E-5</v>
      </c>
      <c r="Z16" s="710">
        <v>1</v>
      </c>
      <c r="AA16" s="711">
        <f>Z16/'État des Résultats'!$E$14</f>
        <v>2.6106150217398965E-5</v>
      </c>
      <c r="AC16" s="710">
        <v>1</v>
      </c>
      <c r="AD16" s="711">
        <f>AC16/'État des Résultats'!$E$14</f>
        <v>2.6106150217398965E-5</v>
      </c>
      <c r="AF16" s="710">
        <v>1</v>
      </c>
      <c r="AG16" s="711">
        <f>AF16/'État des Résultats'!$E$14</f>
        <v>2.6106150217398965E-5</v>
      </c>
      <c r="AI16" s="710">
        <v>1</v>
      </c>
      <c r="AJ16" s="711">
        <f>AI16/'État des Résultats'!$E$14</f>
        <v>2.6106150217398965E-5</v>
      </c>
      <c r="AL16" s="710">
        <v>1</v>
      </c>
      <c r="AM16" s="711">
        <f>AL16/'État des Résultats'!$E$14</f>
        <v>2.6106150217398965E-5</v>
      </c>
      <c r="AP16" s="712">
        <f t="shared" si="0"/>
        <v>8</v>
      </c>
      <c r="AQ16" s="713">
        <f>AP16/'État des Résultats'!$AP$14</f>
        <v>1.415153060965015E-5</v>
      </c>
    </row>
    <row r="17" spans="2:47" x14ac:dyDescent="0.15">
      <c r="B17" s="191">
        <v>7825</v>
      </c>
      <c r="C17" s="394" t="s">
        <v>344</v>
      </c>
      <c r="E17" s="710">
        <v>0</v>
      </c>
      <c r="F17" s="711">
        <f>E17/'État des Résultats'!$E$14</f>
        <v>0</v>
      </c>
      <c r="H17" s="710">
        <v>0</v>
      </c>
      <c r="I17" s="711">
        <f>H17/'État des Résultats'!$E$14</f>
        <v>0</v>
      </c>
      <c r="K17" s="710">
        <v>0</v>
      </c>
      <c r="L17" s="711">
        <f>K17/'État des Résultats'!$E$14</f>
        <v>0</v>
      </c>
      <c r="N17" s="710">
        <v>0</v>
      </c>
      <c r="O17" s="711">
        <f>N17/'État des Résultats'!$E$14</f>
        <v>0</v>
      </c>
      <c r="Q17" s="710">
        <v>1</v>
      </c>
      <c r="R17" s="711">
        <f>Q17/'État des Résultats'!$E$14</f>
        <v>2.6106150217398965E-5</v>
      </c>
      <c r="T17" s="710">
        <v>1</v>
      </c>
      <c r="U17" s="711">
        <f>T17/'État des Résultats'!$E$14</f>
        <v>2.6106150217398965E-5</v>
      </c>
      <c r="W17" s="710">
        <v>1</v>
      </c>
      <c r="X17" s="711">
        <f>W17/'État des Résultats'!$E$14</f>
        <v>2.6106150217398965E-5</v>
      </c>
      <c r="Z17" s="710">
        <v>1</v>
      </c>
      <c r="AA17" s="711">
        <f>Z17/'État des Résultats'!$E$14</f>
        <v>2.6106150217398965E-5</v>
      </c>
      <c r="AC17" s="710">
        <v>1</v>
      </c>
      <c r="AD17" s="711">
        <f>AC17/'État des Résultats'!$E$14</f>
        <v>2.6106150217398965E-5</v>
      </c>
      <c r="AF17" s="710">
        <v>1</v>
      </c>
      <c r="AG17" s="711">
        <f>AF17/'État des Résultats'!$E$14</f>
        <v>2.6106150217398965E-5</v>
      </c>
      <c r="AI17" s="710">
        <v>1</v>
      </c>
      <c r="AJ17" s="711">
        <f>AI17/'État des Résultats'!$E$14</f>
        <v>2.6106150217398965E-5</v>
      </c>
      <c r="AL17" s="710">
        <v>1</v>
      </c>
      <c r="AM17" s="711">
        <f>AL17/'État des Résultats'!$E$14</f>
        <v>2.6106150217398965E-5</v>
      </c>
      <c r="AP17" s="712">
        <f t="shared" si="0"/>
        <v>8</v>
      </c>
      <c r="AQ17" s="713">
        <f>AP17/'État des Résultats'!$AP$14</f>
        <v>1.415153060965015E-5</v>
      </c>
    </row>
    <row r="18" spans="2:47" x14ac:dyDescent="0.15">
      <c r="B18" s="191">
        <v>7830</v>
      </c>
      <c r="C18" s="394" t="s">
        <v>345</v>
      </c>
      <c r="E18" s="710">
        <v>0</v>
      </c>
      <c r="F18" s="711">
        <f>E18/'État des Résultats'!$E$14</f>
        <v>0</v>
      </c>
      <c r="H18" s="710">
        <v>0</v>
      </c>
      <c r="I18" s="711">
        <f>H18/'État des Résultats'!$E$14</f>
        <v>0</v>
      </c>
      <c r="K18" s="710">
        <v>0</v>
      </c>
      <c r="L18" s="711">
        <f>K18/'État des Résultats'!$E$14</f>
        <v>0</v>
      </c>
      <c r="N18" s="710">
        <v>0</v>
      </c>
      <c r="O18" s="711">
        <f>N18/'État des Résultats'!$E$14</f>
        <v>0</v>
      </c>
      <c r="Q18" s="710">
        <v>1</v>
      </c>
      <c r="R18" s="711">
        <f>Q18/'État des Résultats'!$E$14</f>
        <v>2.6106150217398965E-5</v>
      </c>
      <c r="T18" s="710">
        <v>1</v>
      </c>
      <c r="U18" s="711">
        <f>T18/'État des Résultats'!$E$14</f>
        <v>2.6106150217398965E-5</v>
      </c>
      <c r="W18" s="710">
        <v>1</v>
      </c>
      <c r="X18" s="711">
        <f>W18/'État des Résultats'!$E$14</f>
        <v>2.6106150217398965E-5</v>
      </c>
      <c r="Z18" s="710">
        <v>1</v>
      </c>
      <c r="AA18" s="711">
        <f>Z18/'État des Résultats'!$E$14</f>
        <v>2.6106150217398965E-5</v>
      </c>
      <c r="AC18" s="710">
        <v>1</v>
      </c>
      <c r="AD18" s="711">
        <f>AC18/'État des Résultats'!$E$14</f>
        <v>2.6106150217398965E-5</v>
      </c>
      <c r="AF18" s="710">
        <v>1</v>
      </c>
      <c r="AG18" s="711">
        <f>AF18/'État des Résultats'!$E$14</f>
        <v>2.6106150217398965E-5</v>
      </c>
      <c r="AI18" s="710">
        <v>1</v>
      </c>
      <c r="AJ18" s="711">
        <f>AI18/'État des Résultats'!$E$14</f>
        <v>2.6106150217398965E-5</v>
      </c>
      <c r="AL18" s="710">
        <v>1</v>
      </c>
      <c r="AM18" s="711">
        <f>AL18/'État des Résultats'!$E$14</f>
        <v>2.6106150217398965E-5</v>
      </c>
      <c r="AP18" s="712">
        <f t="shared" si="0"/>
        <v>8</v>
      </c>
      <c r="AQ18" s="713">
        <f>AP18/'État des Résultats'!$AP$14</f>
        <v>1.415153060965015E-5</v>
      </c>
      <c r="AS18" s="210"/>
    </row>
    <row r="19" spans="2:47" x14ac:dyDescent="0.15">
      <c r="B19" s="191">
        <v>7835</v>
      </c>
      <c r="C19" s="394" t="s">
        <v>346</v>
      </c>
      <c r="E19" s="710">
        <v>0</v>
      </c>
      <c r="F19" s="711">
        <f>E19/'État des Résultats'!$E$14</f>
        <v>0</v>
      </c>
      <c r="H19" s="710">
        <v>0</v>
      </c>
      <c r="I19" s="711">
        <f>H19/'État des Résultats'!$E$14</f>
        <v>0</v>
      </c>
      <c r="K19" s="710">
        <v>0</v>
      </c>
      <c r="L19" s="711">
        <f>K19/'État des Résultats'!$E$14</f>
        <v>0</v>
      </c>
      <c r="N19" s="710">
        <v>0</v>
      </c>
      <c r="O19" s="711">
        <f>N19/'État des Résultats'!$E$14</f>
        <v>0</v>
      </c>
      <c r="Q19" s="710">
        <v>1</v>
      </c>
      <c r="R19" s="711">
        <f>Q19/'État des Résultats'!$E$14</f>
        <v>2.6106150217398965E-5</v>
      </c>
      <c r="T19" s="710">
        <v>1</v>
      </c>
      <c r="U19" s="711">
        <f>T19/'État des Résultats'!$E$14</f>
        <v>2.6106150217398965E-5</v>
      </c>
      <c r="W19" s="710">
        <v>1</v>
      </c>
      <c r="X19" s="711">
        <f>W19/'État des Résultats'!$E$14</f>
        <v>2.6106150217398965E-5</v>
      </c>
      <c r="Z19" s="710">
        <v>1</v>
      </c>
      <c r="AA19" s="711">
        <f>Z19/'État des Résultats'!$E$14</f>
        <v>2.6106150217398965E-5</v>
      </c>
      <c r="AC19" s="710">
        <v>1</v>
      </c>
      <c r="AD19" s="711">
        <f>AC19/'État des Résultats'!$E$14</f>
        <v>2.6106150217398965E-5</v>
      </c>
      <c r="AF19" s="710">
        <v>1</v>
      </c>
      <c r="AG19" s="711">
        <f>AF19/'État des Résultats'!$E$14</f>
        <v>2.6106150217398965E-5</v>
      </c>
      <c r="AI19" s="710">
        <v>1</v>
      </c>
      <c r="AJ19" s="711">
        <f>AI19/'État des Résultats'!$E$14</f>
        <v>2.6106150217398965E-5</v>
      </c>
      <c r="AL19" s="710">
        <v>1</v>
      </c>
      <c r="AM19" s="711">
        <f>AL19/'État des Résultats'!$E$14</f>
        <v>2.6106150217398965E-5</v>
      </c>
      <c r="AP19" s="712">
        <f t="shared" si="0"/>
        <v>8</v>
      </c>
      <c r="AQ19" s="713">
        <f>AP19/'État des Résultats'!$AP$14</f>
        <v>1.415153060965015E-5</v>
      </c>
    </row>
    <row r="20" spans="2:47" x14ac:dyDescent="0.15">
      <c r="B20" s="191">
        <v>7840</v>
      </c>
      <c r="C20" s="394" t="s">
        <v>347</v>
      </c>
      <c r="E20" s="710">
        <v>0</v>
      </c>
      <c r="F20" s="711">
        <f>E20/'État des Résultats'!$E$14</f>
        <v>0</v>
      </c>
      <c r="H20" s="710">
        <v>0</v>
      </c>
      <c r="I20" s="711">
        <f>H20/'État des Résultats'!$E$14</f>
        <v>0</v>
      </c>
      <c r="K20" s="710">
        <v>0</v>
      </c>
      <c r="L20" s="711">
        <f>K20/'État des Résultats'!$E$14</f>
        <v>0</v>
      </c>
      <c r="N20" s="710">
        <v>0</v>
      </c>
      <c r="O20" s="711">
        <f>N20/'État des Résultats'!$E$14</f>
        <v>0</v>
      </c>
      <c r="Q20" s="710">
        <v>1</v>
      </c>
      <c r="R20" s="711">
        <f>Q20/'État des Résultats'!$E$14</f>
        <v>2.6106150217398965E-5</v>
      </c>
      <c r="T20" s="710">
        <v>1</v>
      </c>
      <c r="U20" s="711">
        <f>T20/'État des Résultats'!$E$14</f>
        <v>2.6106150217398965E-5</v>
      </c>
      <c r="W20" s="710">
        <v>1</v>
      </c>
      <c r="X20" s="711">
        <f>W20/'État des Résultats'!$E$14</f>
        <v>2.6106150217398965E-5</v>
      </c>
      <c r="Z20" s="710">
        <v>1</v>
      </c>
      <c r="AA20" s="711">
        <f>Z20/'État des Résultats'!$E$14</f>
        <v>2.6106150217398965E-5</v>
      </c>
      <c r="AC20" s="710">
        <v>1</v>
      </c>
      <c r="AD20" s="711">
        <f>AC20/'État des Résultats'!$E$14</f>
        <v>2.6106150217398965E-5</v>
      </c>
      <c r="AF20" s="710">
        <v>1</v>
      </c>
      <c r="AG20" s="711">
        <f>AF20/'État des Résultats'!$E$14</f>
        <v>2.6106150217398965E-5</v>
      </c>
      <c r="AI20" s="710">
        <v>1</v>
      </c>
      <c r="AJ20" s="711">
        <f>AI20/'État des Résultats'!$E$14</f>
        <v>2.6106150217398965E-5</v>
      </c>
      <c r="AL20" s="710">
        <v>1</v>
      </c>
      <c r="AM20" s="711">
        <f>AL20/'État des Résultats'!$E$14</f>
        <v>2.6106150217398965E-5</v>
      </c>
      <c r="AP20" s="712">
        <f t="shared" si="0"/>
        <v>8</v>
      </c>
      <c r="AQ20" s="713">
        <f>AP20/'État des Résultats'!$AP$14</f>
        <v>1.415153060965015E-5</v>
      </c>
    </row>
    <row r="21" spans="2:47" x14ac:dyDescent="0.15">
      <c r="B21" s="191">
        <v>7845</v>
      </c>
      <c r="C21" s="394" t="s">
        <v>348</v>
      </c>
      <c r="E21" s="710">
        <v>0</v>
      </c>
      <c r="F21" s="711">
        <f>E21/'État des Résultats'!$E$14</f>
        <v>0</v>
      </c>
      <c r="H21" s="710">
        <v>0</v>
      </c>
      <c r="I21" s="711">
        <f>H21/'État des Résultats'!$E$14</f>
        <v>0</v>
      </c>
      <c r="K21" s="710">
        <v>0</v>
      </c>
      <c r="L21" s="711">
        <f>K21/'État des Résultats'!$E$14</f>
        <v>0</v>
      </c>
      <c r="N21" s="710">
        <v>0</v>
      </c>
      <c r="O21" s="711">
        <f>N21/'État des Résultats'!$E$14</f>
        <v>0</v>
      </c>
      <c r="Q21" s="710">
        <v>1</v>
      </c>
      <c r="R21" s="711">
        <f>Q21/'État des Résultats'!$E$14</f>
        <v>2.6106150217398965E-5</v>
      </c>
      <c r="T21" s="710">
        <v>1</v>
      </c>
      <c r="U21" s="711">
        <f>T21/'État des Résultats'!$E$14</f>
        <v>2.6106150217398965E-5</v>
      </c>
      <c r="W21" s="710">
        <v>1</v>
      </c>
      <c r="X21" s="711">
        <f>W21/'État des Résultats'!$E$14</f>
        <v>2.6106150217398965E-5</v>
      </c>
      <c r="Z21" s="710">
        <v>1</v>
      </c>
      <c r="AA21" s="711">
        <f>Z21/'État des Résultats'!$E$14</f>
        <v>2.6106150217398965E-5</v>
      </c>
      <c r="AC21" s="710">
        <v>1</v>
      </c>
      <c r="AD21" s="711">
        <f>AC21/'État des Résultats'!$E$14</f>
        <v>2.6106150217398965E-5</v>
      </c>
      <c r="AF21" s="710">
        <v>1</v>
      </c>
      <c r="AG21" s="711">
        <f>AF21/'État des Résultats'!$E$14</f>
        <v>2.6106150217398965E-5</v>
      </c>
      <c r="AI21" s="710">
        <v>1</v>
      </c>
      <c r="AJ21" s="711">
        <f>AI21/'État des Résultats'!$E$14</f>
        <v>2.6106150217398965E-5</v>
      </c>
      <c r="AL21" s="710">
        <v>1</v>
      </c>
      <c r="AM21" s="711">
        <f>AL21/'État des Résultats'!$E$14</f>
        <v>2.6106150217398965E-5</v>
      </c>
      <c r="AP21" s="712">
        <f t="shared" si="0"/>
        <v>8</v>
      </c>
      <c r="AQ21" s="713">
        <f>AP21/'État des Résultats'!$AP$14</f>
        <v>1.415153060965015E-5</v>
      </c>
    </row>
    <row r="22" spans="2:47" x14ac:dyDescent="0.15">
      <c r="B22" s="191">
        <v>7850</v>
      </c>
      <c r="C22" s="394" t="s">
        <v>349</v>
      </c>
      <c r="E22" s="710">
        <v>0</v>
      </c>
      <c r="F22" s="711">
        <f>E22/'État des Résultats'!$E$14</f>
        <v>0</v>
      </c>
      <c r="H22" s="710">
        <v>0</v>
      </c>
      <c r="I22" s="711">
        <f>H22/'État des Résultats'!$E$14</f>
        <v>0</v>
      </c>
      <c r="K22" s="710">
        <v>0</v>
      </c>
      <c r="L22" s="711">
        <f>K22/'État des Résultats'!$E$14</f>
        <v>0</v>
      </c>
      <c r="N22" s="710">
        <v>0</v>
      </c>
      <c r="O22" s="711">
        <f>N22/'État des Résultats'!$E$14</f>
        <v>0</v>
      </c>
      <c r="Q22" s="710">
        <v>1</v>
      </c>
      <c r="R22" s="711">
        <f>Q22/'État des Résultats'!$E$14</f>
        <v>2.6106150217398965E-5</v>
      </c>
      <c r="T22" s="710">
        <v>1</v>
      </c>
      <c r="U22" s="711">
        <f>T22/'État des Résultats'!$E$14</f>
        <v>2.6106150217398965E-5</v>
      </c>
      <c r="W22" s="710">
        <v>1</v>
      </c>
      <c r="X22" s="711">
        <f>W22/'État des Résultats'!$E$14</f>
        <v>2.6106150217398965E-5</v>
      </c>
      <c r="Z22" s="710">
        <v>1</v>
      </c>
      <c r="AA22" s="711">
        <f>Z22/'État des Résultats'!$E$14</f>
        <v>2.6106150217398965E-5</v>
      </c>
      <c r="AC22" s="710">
        <v>1</v>
      </c>
      <c r="AD22" s="711">
        <f>AC22/'État des Résultats'!$E$14</f>
        <v>2.6106150217398965E-5</v>
      </c>
      <c r="AF22" s="710">
        <v>1</v>
      </c>
      <c r="AG22" s="711">
        <f>AF22/'État des Résultats'!$E$14</f>
        <v>2.6106150217398965E-5</v>
      </c>
      <c r="AI22" s="710">
        <v>1</v>
      </c>
      <c r="AJ22" s="711">
        <f>AI22/'État des Résultats'!$E$14</f>
        <v>2.6106150217398965E-5</v>
      </c>
      <c r="AL22" s="710">
        <v>1</v>
      </c>
      <c r="AM22" s="711">
        <f>AL22/'État des Résultats'!$E$14</f>
        <v>2.6106150217398965E-5</v>
      </c>
      <c r="AP22" s="712">
        <f t="shared" si="0"/>
        <v>8</v>
      </c>
      <c r="AQ22" s="713">
        <f>AP22/'État des Résultats'!$AP$14</f>
        <v>1.415153060965015E-5</v>
      </c>
    </row>
    <row r="23" spans="2:47" x14ac:dyDescent="0.15">
      <c r="B23" s="777">
        <v>7855</v>
      </c>
      <c r="C23" s="778" t="s">
        <v>350</v>
      </c>
      <c r="E23" s="710">
        <v>1000</v>
      </c>
      <c r="F23" s="711">
        <f>E23/'État des Résultats'!$E$14</f>
        <v>2.6106150217398965E-2</v>
      </c>
      <c r="H23" s="710">
        <v>1000</v>
      </c>
      <c r="I23" s="711">
        <f>H23/'État des Résultats'!$E$14</f>
        <v>2.6106150217398965E-2</v>
      </c>
      <c r="K23" s="710">
        <v>1000</v>
      </c>
      <c r="L23" s="711">
        <f>K23/'État des Résultats'!$E$14</f>
        <v>2.6106150217398965E-2</v>
      </c>
      <c r="N23" s="710">
        <v>1000</v>
      </c>
      <c r="O23" s="711">
        <f>N23/'État des Résultats'!$E$14</f>
        <v>2.6106150217398965E-2</v>
      </c>
      <c r="Q23" s="710">
        <v>1000</v>
      </c>
      <c r="R23" s="711">
        <f>Q23/'État des Résultats'!$E$14</f>
        <v>2.6106150217398965E-2</v>
      </c>
      <c r="T23" s="710">
        <v>1000</v>
      </c>
      <c r="U23" s="711">
        <f>T23/'État des Résultats'!$E$14</f>
        <v>2.6106150217398965E-2</v>
      </c>
      <c r="W23" s="710">
        <v>1000</v>
      </c>
      <c r="X23" s="711">
        <f>W23/'État des Résultats'!$E$14</f>
        <v>2.6106150217398965E-2</v>
      </c>
      <c r="Z23" s="710">
        <v>1000</v>
      </c>
      <c r="AA23" s="711">
        <f>Z23/'État des Résultats'!$E$14</f>
        <v>2.6106150217398965E-2</v>
      </c>
      <c r="AC23" s="710">
        <v>1000</v>
      </c>
      <c r="AD23" s="711">
        <f>AC23/'État des Résultats'!$E$14</f>
        <v>2.6106150217398965E-2</v>
      </c>
      <c r="AF23" s="710">
        <v>1000</v>
      </c>
      <c r="AG23" s="711">
        <f>AF23/'État des Résultats'!$E$14</f>
        <v>2.6106150217398965E-2</v>
      </c>
      <c r="AI23" s="710">
        <v>1000</v>
      </c>
      <c r="AJ23" s="711">
        <f>AI23/'État des Résultats'!$E$14</f>
        <v>2.6106150217398965E-2</v>
      </c>
      <c r="AL23" s="710">
        <v>1000</v>
      </c>
      <c r="AM23" s="711">
        <f>AL23/'État des Résultats'!$E$14</f>
        <v>2.6106150217398965E-2</v>
      </c>
      <c r="AP23" s="712">
        <f t="shared" si="0"/>
        <v>12000</v>
      </c>
      <c r="AQ23" s="713">
        <f>AP23/'État des Résultats'!$AP$14</f>
        <v>2.1227295914475225E-2</v>
      </c>
    </row>
    <row r="24" spans="2:47" x14ac:dyDescent="0.15">
      <c r="B24" s="191">
        <v>7860</v>
      </c>
      <c r="C24" s="394" t="s">
        <v>351</v>
      </c>
      <c r="E24" s="710">
        <v>0</v>
      </c>
      <c r="F24" s="711">
        <f>E24/'État des Résultats'!$E$14</f>
        <v>0</v>
      </c>
      <c r="H24" s="710">
        <v>0</v>
      </c>
      <c r="I24" s="711">
        <f>H24/'État des Résultats'!$E$14</f>
        <v>0</v>
      </c>
      <c r="K24" s="710">
        <v>0</v>
      </c>
      <c r="L24" s="711">
        <f>K24/'État des Résultats'!$E$14</f>
        <v>0</v>
      </c>
      <c r="N24" s="710">
        <v>0</v>
      </c>
      <c r="O24" s="711">
        <f>N24/'État des Résultats'!$E$14</f>
        <v>0</v>
      </c>
      <c r="Q24" s="710">
        <v>1</v>
      </c>
      <c r="R24" s="711">
        <f>Q24/'État des Résultats'!$E$14</f>
        <v>2.6106150217398965E-5</v>
      </c>
      <c r="T24" s="710">
        <v>1</v>
      </c>
      <c r="U24" s="711">
        <f>T24/'État des Résultats'!$E$14</f>
        <v>2.6106150217398965E-5</v>
      </c>
      <c r="W24" s="710">
        <v>1</v>
      </c>
      <c r="X24" s="711">
        <f>W24/'État des Résultats'!$E$14</f>
        <v>2.6106150217398965E-5</v>
      </c>
      <c r="Z24" s="710">
        <v>1</v>
      </c>
      <c r="AA24" s="711">
        <f>Z24/'État des Résultats'!$E$14</f>
        <v>2.6106150217398965E-5</v>
      </c>
      <c r="AC24" s="710">
        <v>1</v>
      </c>
      <c r="AD24" s="711">
        <f>AC24/'État des Résultats'!$E$14</f>
        <v>2.6106150217398965E-5</v>
      </c>
      <c r="AF24" s="710">
        <v>1</v>
      </c>
      <c r="AG24" s="711">
        <f>AF24/'État des Résultats'!$E$14</f>
        <v>2.6106150217398965E-5</v>
      </c>
      <c r="AI24" s="710">
        <v>1</v>
      </c>
      <c r="AJ24" s="711">
        <f>AI24/'État des Résultats'!$E$14</f>
        <v>2.6106150217398965E-5</v>
      </c>
      <c r="AL24" s="710">
        <v>1</v>
      </c>
      <c r="AM24" s="711">
        <f>AL24/'État des Résultats'!$E$14</f>
        <v>2.6106150217398965E-5</v>
      </c>
      <c r="AP24" s="712">
        <f t="shared" si="0"/>
        <v>8</v>
      </c>
      <c r="AQ24" s="713">
        <f>AP24/'État des Résultats'!$AP$14</f>
        <v>1.415153060965015E-5</v>
      </c>
    </row>
    <row r="25" spans="2:47" x14ac:dyDescent="0.15">
      <c r="B25" s="191">
        <v>7865</v>
      </c>
      <c r="C25" s="394" t="s">
        <v>352</v>
      </c>
      <c r="E25" s="710">
        <v>0</v>
      </c>
      <c r="F25" s="711">
        <f>E25/'État des Résultats'!$E$14</f>
        <v>0</v>
      </c>
      <c r="H25" s="710">
        <v>0</v>
      </c>
      <c r="I25" s="711">
        <f>H25/'État des Résultats'!$E$14</f>
        <v>0</v>
      </c>
      <c r="K25" s="710">
        <v>0</v>
      </c>
      <c r="L25" s="711">
        <f>K25/'État des Résultats'!$E$14</f>
        <v>0</v>
      </c>
      <c r="N25" s="710">
        <v>0</v>
      </c>
      <c r="O25" s="711">
        <f>N25/'État des Résultats'!$E$14</f>
        <v>0</v>
      </c>
      <c r="Q25" s="710">
        <v>1</v>
      </c>
      <c r="R25" s="711">
        <f>Q25/'État des Résultats'!$E$14</f>
        <v>2.6106150217398965E-5</v>
      </c>
      <c r="T25" s="710">
        <v>1</v>
      </c>
      <c r="U25" s="711">
        <f>T25/'État des Résultats'!$E$14</f>
        <v>2.6106150217398965E-5</v>
      </c>
      <c r="W25" s="710">
        <v>1</v>
      </c>
      <c r="X25" s="711">
        <f>W25/'État des Résultats'!$E$14</f>
        <v>2.6106150217398965E-5</v>
      </c>
      <c r="Z25" s="710">
        <v>1</v>
      </c>
      <c r="AA25" s="711">
        <f>Z25/'État des Résultats'!$E$14</f>
        <v>2.6106150217398965E-5</v>
      </c>
      <c r="AC25" s="710">
        <v>1</v>
      </c>
      <c r="AD25" s="711">
        <f>AC25/'État des Résultats'!$E$14</f>
        <v>2.6106150217398965E-5</v>
      </c>
      <c r="AF25" s="710">
        <v>1</v>
      </c>
      <c r="AG25" s="711">
        <f>AF25/'État des Résultats'!$E$14</f>
        <v>2.6106150217398965E-5</v>
      </c>
      <c r="AI25" s="710">
        <v>1</v>
      </c>
      <c r="AJ25" s="711">
        <f>AI25/'État des Résultats'!$E$14</f>
        <v>2.6106150217398965E-5</v>
      </c>
      <c r="AL25" s="710">
        <v>1</v>
      </c>
      <c r="AM25" s="711">
        <f>AL25/'État des Résultats'!$E$14</f>
        <v>2.6106150217398965E-5</v>
      </c>
      <c r="AP25" s="712">
        <f t="shared" si="0"/>
        <v>8</v>
      </c>
      <c r="AQ25" s="713">
        <f>AP25/'État des Résultats'!$AP$14</f>
        <v>1.415153060965015E-5</v>
      </c>
    </row>
    <row r="26" spans="2:47" x14ac:dyDescent="0.15">
      <c r="B26" s="191">
        <v>7880</v>
      </c>
      <c r="C26" s="394" t="s">
        <v>353</v>
      </c>
      <c r="E26" s="710">
        <v>0</v>
      </c>
      <c r="F26" s="711">
        <f>E26/'État des Résultats'!$E$14</f>
        <v>0</v>
      </c>
      <c r="H26" s="710">
        <v>0</v>
      </c>
      <c r="I26" s="711">
        <f>H26/'État des Résultats'!$E$14</f>
        <v>0</v>
      </c>
      <c r="K26" s="710">
        <v>0</v>
      </c>
      <c r="L26" s="711">
        <f>K26/'État des Résultats'!$E$14</f>
        <v>0</v>
      </c>
      <c r="N26" s="710">
        <v>0</v>
      </c>
      <c r="O26" s="711">
        <f>N26/'État des Résultats'!$E$14</f>
        <v>0</v>
      </c>
      <c r="Q26" s="710">
        <v>1</v>
      </c>
      <c r="R26" s="711">
        <f>Q26/'État des Résultats'!$E$14</f>
        <v>2.6106150217398965E-5</v>
      </c>
      <c r="T26" s="710">
        <v>1</v>
      </c>
      <c r="U26" s="711">
        <f>T26/'État des Résultats'!$E$14</f>
        <v>2.6106150217398965E-5</v>
      </c>
      <c r="W26" s="710">
        <v>1</v>
      </c>
      <c r="X26" s="711">
        <f>W26/'État des Résultats'!$E$14</f>
        <v>2.6106150217398965E-5</v>
      </c>
      <c r="Z26" s="710">
        <v>1</v>
      </c>
      <c r="AA26" s="711">
        <f>Z26/'État des Résultats'!$E$14</f>
        <v>2.6106150217398965E-5</v>
      </c>
      <c r="AC26" s="710">
        <v>1</v>
      </c>
      <c r="AD26" s="711">
        <f>AC26/'État des Résultats'!$E$14</f>
        <v>2.6106150217398965E-5</v>
      </c>
      <c r="AF26" s="710">
        <v>1</v>
      </c>
      <c r="AG26" s="711">
        <f>AF26/'État des Résultats'!$E$14</f>
        <v>2.6106150217398965E-5</v>
      </c>
      <c r="AI26" s="710">
        <v>1</v>
      </c>
      <c r="AJ26" s="711">
        <f>AI26/'État des Résultats'!$E$14</f>
        <v>2.6106150217398965E-5</v>
      </c>
      <c r="AL26" s="710">
        <v>1</v>
      </c>
      <c r="AM26" s="711">
        <f>AL26/'État des Résultats'!$E$14</f>
        <v>2.6106150217398965E-5</v>
      </c>
      <c r="AP26" s="712">
        <f t="shared" si="0"/>
        <v>8</v>
      </c>
      <c r="AQ26" s="713">
        <f>AP26/'État des Résultats'!$AP$14</f>
        <v>1.415153060965015E-5</v>
      </c>
    </row>
    <row r="27" spans="2:47" x14ac:dyDescent="0.15">
      <c r="B27" s="191">
        <v>7899</v>
      </c>
      <c r="C27" s="394" t="s">
        <v>218</v>
      </c>
      <c r="E27" s="710">
        <v>0</v>
      </c>
      <c r="F27" s="711">
        <f>E27/'État des Résultats'!$E$14</f>
        <v>0</v>
      </c>
      <c r="H27" s="710">
        <v>0</v>
      </c>
      <c r="I27" s="711">
        <f>H27/'État des Résultats'!$E$14</f>
        <v>0</v>
      </c>
      <c r="K27" s="710">
        <v>0</v>
      </c>
      <c r="L27" s="711">
        <f>K27/'État des Résultats'!$E$14</f>
        <v>0</v>
      </c>
      <c r="N27" s="710">
        <v>0</v>
      </c>
      <c r="O27" s="711">
        <f>N27/'État des Résultats'!$E$14</f>
        <v>0</v>
      </c>
      <c r="Q27" s="710">
        <v>1</v>
      </c>
      <c r="R27" s="711">
        <f>Q27/'État des Résultats'!$E$14</f>
        <v>2.6106150217398965E-5</v>
      </c>
      <c r="T27" s="710">
        <v>1</v>
      </c>
      <c r="U27" s="711">
        <f>T27/'État des Résultats'!$E$14</f>
        <v>2.6106150217398965E-5</v>
      </c>
      <c r="W27" s="710">
        <v>1</v>
      </c>
      <c r="X27" s="711">
        <f>W27/'État des Résultats'!$E$14</f>
        <v>2.6106150217398965E-5</v>
      </c>
      <c r="Z27" s="710">
        <v>1</v>
      </c>
      <c r="AA27" s="711">
        <f>Z27/'État des Résultats'!$E$14</f>
        <v>2.6106150217398965E-5</v>
      </c>
      <c r="AC27" s="710">
        <v>1</v>
      </c>
      <c r="AD27" s="711">
        <f>AC27/'État des Résultats'!$E$14</f>
        <v>2.6106150217398965E-5</v>
      </c>
      <c r="AF27" s="710">
        <v>1</v>
      </c>
      <c r="AG27" s="711">
        <f>AF27/'État des Résultats'!$E$14</f>
        <v>2.6106150217398965E-5</v>
      </c>
      <c r="AI27" s="710">
        <v>1</v>
      </c>
      <c r="AJ27" s="711">
        <f>AI27/'État des Résultats'!$E$14</f>
        <v>2.6106150217398965E-5</v>
      </c>
      <c r="AL27" s="710">
        <v>1</v>
      </c>
      <c r="AM27" s="711">
        <f>AL27/'État des Résultats'!$E$14</f>
        <v>2.6106150217398965E-5</v>
      </c>
      <c r="AP27" s="712">
        <f t="shared" si="0"/>
        <v>8</v>
      </c>
      <c r="AQ27" s="713">
        <f>AP27/'État des Résultats'!$AP$14</f>
        <v>1.415153060965015E-5</v>
      </c>
    </row>
    <row r="28" spans="2:47" ht="14" thickBot="1" x14ac:dyDescent="0.2">
      <c r="B28" s="709"/>
      <c r="C28" s="394"/>
      <c r="E28" s="714"/>
      <c r="F28" s="747"/>
      <c r="H28" s="714"/>
      <c r="I28" s="747"/>
      <c r="K28" s="714"/>
      <c r="L28" s="747"/>
      <c r="N28" s="714"/>
      <c r="O28" s="747"/>
      <c r="Q28" s="714"/>
      <c r="R28" s="747"/>
      <c r="T28" s="714"/>
      <c r="U28" s="747"/>
      <c r="W28" s="714"/>
      <c r="X28" s="747"/>
      <c r="Z28" s="714"/>
      <c r="AA28" s="747"/>
      <c r="AC28" s="714"/>
      <c r="AD28" s="747"/>
      <c r="AF28" s="714"/>
      <c r="AG28" s="747"/>
      <c r="AI28" s="714"/>
      <c r="AJ28" s="747"/>
      <c r="AL28" s="714"/>
      <c r="AM28" s="747"/>
      <c r="AP28" s="712"/>
      <c r="AQ28" s="748"/>
    </row>
    <row r="29" spans="2:47" ht="15" thickTop="1" thickBot="1" x14ac:dyDescent="0.2">
      <c r="B29" s="499">
        <v>7800</v>
      </c>
      <c r="C29" s="500" t="s">
        <v>354</v>
      </c>
      <c r="D29" s="214"/>
      <c r="E29" s="719">
        <f>SUM(E13:E27)</f>
        <v>1000</v>
      </c>
      <c r="F29" s="720">
        <f>SUM(F13:F27)</f>
        <v>2.6106150217398965E-2</v>
      </c>
      <c r="G29" s="214"/>
      <c r="H29" s="719">
        <f>SUM(H13:H27)</f>
        <v>1000</v>
      </c>
      <c r="I29" s="720">
        <f>SUM(I13:I27)</f>
        <v>2.6106150217398965E-2</v>
      </c>
      <c r="J29" s="214"/>
      <c r="K29" s="719">
        <f>SUM(K13:K27)</f>
        <v>1000</v>
      </c>
      <c r="L29" s="720">
        <f>SUM(L13:L27)</f>
        <v>2.6106150217398965E-2</v>
      </c>
      <c r="M29" s="214"/>
      <c r="N29" s="719">
        <f>SUM(N13:N27)</f>
        <v>1000</v>
      </c>
      <c r="O29" s="720">
        <f>SUM(O13:O27)</f>
        <v>2.6106150217398965E-2</v>
      </c>
      <c r="P29" s="214"/>
      <c r="Q29" s="719">
        <f>SUM(Q13:Q27)</f>
        <v>1014</v>
      </c>
      <c r="R29" s="720">
        <f>SUM(R13:R27)</f>
        <v>2.6471636320442551E-2</v>
      </c>
      <c r="S29" s="214"/>
      <c r="T29" s="719">
        <f>SUM(T13:T27)</f>
        <v>1014</v>
      </c>
      <c r="U29" s="720">
        <f>SUM(U13:U27)</f>
        <v>2.6471636320442551E-2</v>
      </c>
      <c r="V29" s="214"/>
      <c r="W29" s="719">
        <f>SUM(W13:W27)</f>
        <v>1014</v>
      </c>
      <c r="X29" s="720">
        <f>SUM(X13:X27)</f>
        <v>2.6471636320442551E-2</v>
      </c>
      <c r="Y29" s="214"/>
      <c r="Z29" s="719">
        <f>SUM(Z13:Z27)</f>
        <v>1014</v>
      </c>
      <c r="AA29" s="720">
        <f>SUM(AA13:AA27)</f>
        <v>2.6471636320442551E-2</v>
      </c>
      <c r="AB29" s="214"/>
      <c r="AC29" s="719">
        <f>SUM(AC13:AC27)</f>
        <v>1014</v>
      </c>
      <c r="AD29" s="720">
        <f>SUM(AD13:AD27)</f>
        <v>2.6471636320442551E-2</v>
      </c>
      <c r="AE29" s="214"/>
      <c r="AF29" s="719">
        <f>SUM(AF13:AF27)</f>
        <v>1014</v>
      </c>
      <c r="AG29" s="720">
        <f>SUM(AG13:AG27)</f>
        <v>2.6471636320442551E-2</v>
      </c>
      <c r="AH29" s="214"/>
      <c r="AI29" s="719">
        <f>SUM(AI13:AI27)</f>
        <v>1014</v>
      </c>
      <c r="AJ29" s="720">
        <f>SUM(AJ13:AJ27)</f>
        <v>2.6471636320442551E-2</v>
      </c>
      <c r="AK29" s="214"/>
      <c r="AL29" s="719">
        <f>SUM(AL13:AL27)</f>
        <v>1014</v>
      </c>
      <c r="AM29" s="720">
        <f>SUM(AM13:AM27)</f>
        <v>2.6471636320442551E-2</v>
      </c>
      <c r="AN29" s="214"/>
      <c r="AO29" s="214"/>
      <c r="AP29" s="719">
        <f>SUM(AP13:AP27)</f>
        <v>12112</v>
      </c>
      <c r="AQ29" s="720">
        <f>SUM(AQ13:AQ27)</f>
        <v>2.1425417343010327E-2</v>
      </c>
      <c r="AR29" s="214"/>
      <c r="AS29" s="214"/>
      <c r="AT29" s="214"/>
      <c r="AU29" s="252"/>
    </row>
    <row r="30" spans="2:47" ht="14" thickTop="1" x14ac:dyDescent="0.15">
      <c r="L30" s="316"/>
      <c r="O30" s="316"/>
      <c r="R30" s="316"/>
      <c r="U30" s="316"/>
      <c r="X30" s="316"/>
      <c r="AA30" s="316"/>
      <c r="AD30" s="316"/>
      <c r="AG30" s="316"/>
      <c r="AJ30" s="316"/>
      <c r="AM30" s="316"/>
      <c r="AQ30" s="316"/>
    </row>
    <row r="31" spans="2:47" x14ac:dyDescent="0.15">
      <c r="R31" s="316"/>
      <c r="U31" s="316"/>
      <c r="X31" s="316"/>
      <c r="AD31" s="316"/>
      <c r="AG31" s="316"/>
      <c r="AJ31" s="316"/>
      <c r="AM31" s="316"/>
    </row>
    <row r="32" spans="2:47" x14ac:dyDescent="0.15">
      <c r="U32" s="316"/>
      <c r="AG32" s="316"/>
      <c r="AJ32" s="316"/>
      <c r="AM32" s="316"/>
    </row>
    <row r="33" spans="3:69" x14ac:dyDescent="0.15">
      <c r="C33" s="161" t="s">
        <v>2</v>
      </c>
      <c r="E33" s="161" t="s">
        <v>2</v>
      </c>
      <c r="G33" s="161" t="s">
        <v>2</v>
      </c>
      <c r="H33" s="161" t="s">
        <v>2</v>
      </c>
      <c r="U33" s="316"/>
      <c r="AG33" s="316"/>
      <c r="AJ33" s="316"/>
      <c r="AM33" s="316"/>
    </row>
    <row r="34" spans="3:69" x14ac:dyDescent="0.15">
      <c r="H34" s="161" t="s">
        <v>2</v>
      </c>
      <c r="AG34" s="316"/>
      <c r="AJ34" s="316"/>
      <c r="AM34" s="316"/>
    </row>
    <row r="35" spans="3:69" x14ac:dyDescent="0.15">
      <c r="H35" s="161" t="s">
        <v>2</v>
      </c>
      <c r="AM35" s="316"/>
    </row>
    <row r="36" spans="3:69" x14ac:dyDescent="0.15">
      <c r="H36" s="161" t="s">
        <v>2</v>
      </c>
      <c r="BB36" s="170"/>
      <c r="BC36" s="170"/>
      <c r="BD36" s="170"/>
      <c r="BE36" s="170"/>
      <c r="BF36" s="170"/>
      <c r="BG36" s="170"/>
      <c r="BH36" s="170"/>
      <c r="BI36" s="170"/>
      <c r="BJ36" s="170"/>
      <c r="BK36" s="170"/>
      <c r="BL36" s="170"/>
      <c r="BM36" s="170"/>
      <c r="BN36" s="170"/>
      <c r="BO36" s="170"/>
      <c r="BP36" s="170"/>
      <c r="BQ36" s="170"/>
    </row>
    <row r="37" spans="3:69" x14ac:dyDescent="0.15">
      <c r="H37" s="161" t="s">
        <v>2</v>
      </c>
    </row>
    <row r="38" spans="3:69" x14ac:dyDescent="0.15">
      <c r="H38" s="161" t="s">
        <v>2</v>
      </c>
    </row>
    <row r="48" spans="3:69" x14ac:dyDescent="0.15">
      <c r="H48" s="722"/>
    </row>
  </sheetData>
  <mergeCells count="9">
    <mergeCell ref="B9:C9"/>
    <mergeCell ref="AS2:AS8"/>
    <mergeCell ref="BC2:BC8"/>
    <mergeCell ref="B2:C2"/>
    <mergeCell ref="B3:C3"/>
    <mergeCell ref="B4:C4"/>
    <mergeCell ref="B6:C6"/>
    <mergeCell ref="B7:C7"/>
    <mergeCell ref="B8:C8"/>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B8FCD-653E-CF48-8616-2F0D723D926D}">
  <sheetPr>
    <tabColor theme="1"/>
    <pageSetUpPr fitToPage="1"/>
  </sheetPr>
  <dimension ref="B1:BQ50"/>
  <sheetViews>
    <sheetView zoomScale="113" zoomScaleNormal="113" zoomScalePageLayoutView="125" workbookViewId="0"/>
  </sheetViews>
  <sheetFormatPr baseColWidth="10" defaultRowHeight="13" x14ac:dyDescent="0.15"/>
  <cols>
    <col min="1" max="1" width="2.1640625" style="161" customWidth="1"/>
    <col min="2" max="2" width="5.1640625" style="161" customWidth="1"/>
    <col min="3" max="3" width="4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832031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0" t="str">
        <f>'État des Résultats'!C2</f>
        <v xml:space="preserve">Entreprise de restauration alimentaire 12 inc. </v>
      </c>
      <c r="C2" s="941"/>
      <c r="AS2" s="898" t="s">
        <v>42</v>
      </c>
      <c r="AT2" s="369"/>
      <c r="AU2" s="369"/>
      <c r="AV2" s="369"/>
      <c r="AW2" s="369"/>
      <c r="AX2" s="369"/>
      <c r="AY2" s="369"/>
      <c r="AZ2" s="369"/>
      <c r="BA2" s="369"/>
      <c r="BB2" s="369"/>
      <c r="BC2" s="901" t="s">
        <v>43</v>
      </c>
    </row>
    <row r="3" spans="2:56" ht="20" customHeight="1" x14ac:dyDescent="0.2">
      <c r="B3" s="942" t="str">
        <f>'État des Résultats'!C3</f>
        <v xml:space="preserve">États des résultats prévisionnels </v>
      </c>
      <c r="C3" s="943"/>
      <c r="AS3" s="899"/>
      <c r="AT3" s="370"/>
      <c r="AU3" s="370"/>
      <c r="AV3" s="370"/>
      <c r="AW3" s="370"/>
      <c r="AX3" s="370"/>
      <c r="AY3" s="370"/>
      <c r="AZ3" s="370"/>
      <c r="BA3" s="370"/>
      <c r="BB3" s="370"/>
      <c r="BC3" s="902"/>
    </row>
    <row r="4" spans="2:56" ht="20" customHeight="1" thickBot="1" x14ac:dyDescent="0.3">
      <c r="B4" s="944" t="str">
        <f>'État des Résultats'!C4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16" t="str">
        <f>'État des Résultats'!C6</f>
        <v>Nb de places</v>
      </c>
      <c r="C6" s="958"/>
      <c r="E6" s="693" t="str">
        <f>'Coût marchandises vendues'!D6</f>
        <v>Coût / place / jour</v>
      </c>
      <c r="F6" s="694">
        <f>+E31/$B$7/'Calendrier 2021'!D8</f>
        <v>0.64516129032258063</v>
      </c>
      <c r="G6" s="170"/>
      <c r="H6" s="693" t="str">
        <f>+E6</f>
        <v>Coût / place / jour</v>
      </c>
      <c r="I6" s="694">
        <f>+H31/$B$7/'Calendrier 2021'!E8</f>
        <v>0.7142857142857143</v>
      </c>
      <c r="J6" s="170"/>
      <c r="K6" s="693" t="str">
        <f>+H6</f>
        <v>Coût / place / jour</v>
      </c>
      <c r="L6" s="694">
        <f>+K31/$B$7/'Calendrier 2021'!F8</f>
        <v>0.64516129032258063</v>
      </c>
      <c r="M6" s="170"/>
      <c r="N6" s="693" t="str">
        <f>+K6</f>
        <v>Coût / place / jour</v>
      </c>
      <c r="O6" s="694">
        <f>+N31/$B$7/'Calendrier 2021'!G8</f>
        <v>0.66666666666666663</v>
      </c>
      <c r="P6" s="436"/>
      <c r="Q6" s="693" t="str">
        <f>+N6</f>
        <v>Coût / place / jour</v>
      </c>
      <c r="R6" s="694">
        <f>+Q31/$B$7/'Calendrier 2021'!H8</f>
        <v>0.64516129032258063</v>
      </c>
      <c r="S6" s="436"/>
      <c r="T6" s="693" t="str">
        <f>+Q6</f>
        <v>Coût / place / jour</v>
      </c>
      <c r="U6" s="694">
        <f>+T31/$B$7/'Calendrier 2021'!I8</f>
        <v>0.66666666666666663</v>
      </c>
      <c r="V6" s="170"/>
      <c r="W6" s="693" t="str">
        <f>+T6</f>
        <v>Coût / place / jour</v>
      </c>
      <c r="X6" s="694">
        <f>+W31/$B$7/'Calendrier 2021'!J8</f>
        <v>0.64516129032258063</v>
      </c>
      <c r="Y6" s="170"/>
      <c r="Z6" s="693" t="str">
        <f>+W6</f>
        <v>Coût / place / jour</v>
      </c>
      <c r="AA6" s="694">
        <f>+Z31/$B$7/'Calendrier 2021'!K8</f>
        <v>0.64516129032258063</v>
      </c>
      <c r="AB6" s="170"/>
      <c r="AC6" s="693" t="str">
        <f>+Z6</f>
        <v>Coût / place / jour</v>
      </c>
      <c r="AD6" s="694">
        <f>+AC31/$B$7/'Calendrier 2021'!L8</f>
        <v>0.66666666666666663</v>
      </c>
      <c r="AE6" s="170"/>
      <c r="AF6" s="693" t="str">
        <f>+AC6</f>
        <v>Coût / place / jour</v>
      </c>
      <c r="AG6" s="694">
        <f>+AF31/$B$7/'Calendrier 2021'!M8</f>
        <v>0.64516129032258063</v>
      </c>
      <c r="AH6" s="170"/>
      <c r="AI6" s="693" t="str">
        <f>+AF6</f>
        <v>Coût / place / jour</v>
      </c>
      <c r="AJ6" s="694">
        <f>+AI31/$B$7/'Calendrier 2021'!N8</f>
        <v>0.66666666666666663</v>
      </c>
      <c r="AK6" s="170"/>
      <c r="AL6" s="693" t="str">
        <f>+AI6</f>
        <v>Coût / place / jour</v>
      </c>
      <c r="AM6" s="694">
        <f>+AL31/$B$7/'Calendrier 2021'!O8</f>
        <v>0.64516129032258063</v>
      </c>
      <c r="AN6" s="170"/>
      <c r="AO6" s="170"/>
      <c r="AP6" s="695" t="str">
        <f>+AL6</f>
        <v>Coût / place / jour</v>
      </c>
      <c r="AQ6" s="696">
        <f>+AP31/$B$7/'% Occupation'!P9</f>
        <v>0.65753424657534243</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48">
        <f>'Coût marchandises vendues'!B7</f>
        <v>50</v>
      </c>
      <c r="C7" s="947"/>
      <c r="E7" s="438">
        <f>+E31/$AP31</f>
        <v>8.3333333333333329E-2</v>
      </c>
      <c r="F7" s="697"/>
      <c r="H7" s="438">
        <f>+H31/$AP31</f>
        <v>8.3333333333333329E-2</v>
      </c>
      <c r="I7" s="697"/>
      <c r="K7" s="438">
        <f>+K31/$AP31</f>
        <v>8.3333333333333329E-2</v>
      </c>
      <c r="L7" s="439"/>
      <c r="N7" s="438">
        <f>+N31/$AP31</f>
        <v>8.3333333333333329E-2</v>
      </c>
      <c r="O7" s="439"/>
      <c r="P7" s="698"/>
      <c r="Q7" s="438">
        <f>+Q31/$AP31</f>
        <v>8.3333333333333329E-2</v>
      </c>
      <c r="R7" s="439"/>
      <c r="S7" s="698"/>
      <c r="T7" s="438">
        <f>+T31/$AP31</f>
        <v>8.3333333333333329E-2</v>
      </c>
      <c r="U7" s="439"/>
      <c r="W7" s="438">
        <f>+W31/$AP31</f>
        <v>8.3333333333333329E-2</v>
      </c>
      <c r="X7" s="439"/>
      <c r="Z7" s="438">
        <f>+Z31/$AP31</f>
        <v>8.3333333333333329E-2</v>
      </c>
      <c r="AA7" s="439"/>
      <c r="AC7" s="438">
        <f>+AC31/$AP31</f>
        <v>8.3333333333333329E-2</v>
      </c>
      <c r="AD7" s="439"/>
      <c r="AF7" s="438">
        <f>+AF31/$AP31</f>
        <v>8.3333333333333329E-2</v>
      </c>
      <c r="AG7" s="439"/>
      <c r="AI7" s="438">
        <f>+AI31/$AP31</f>
        <v>8.3333333333333329E-2</v>
      </c>
      <c r="AJ7" s="439"/>
      <c r="AL7" s="438">
        <f>+AL31/$AP31</f>
        <v>8.3333333333333329E-2</v>
      </c>
      <c r="AM7" s="439"/>
      <c r="AP7" s="699">
        <f>+AP31/$AP31</f>
        <v>1</v>
      </c>
      <c r="AQ7" s="700" t="s">
        <v>137</v>
      </c>
      <c r="AS7" s="899"/>
      <c r="AT7" s="684">
        <f>AP31</f>
        <v>12000</v>
      </c>
      <c r="AU7" s="371" t="s">
        <v>44</v>
      </c>
      <c r="AV7" s="685">
        <f>'Formule pour le calcul D'!G114</f>
        <v>22875</v>
      </c>
      <c r="AW7" s="371" t="s">
        <v>45</v>
      </c>
      <c r="AX7" s="371" t="s">
        <v>46</v>
      </c>
      <c r="AY7" s="686">
        <f>'Formule pour le calcul D'!J106</f>
        <v>2.2200000000000002</v>
      </c>
      <c r="AZ7" s="371" t="s">
        <v>45</v>
      </c>
      <c r="BA7" s="687">
        <f>AT7/AV7/AY7</f>
        <v>0.23630187564613794</v>
      </c>
      <c r="BB7" s="371" t="s">
        <v>49</v>
      </c>
      <c r="BC7" s="902"/>
    </row>
    <row r="8" spans="2:56" ht="17" thickBot="1" x14ac:dyDescent="0.25">
      <c r="B8" s="920" t="s">
        <v>338</v>
      </c>
      <c r="C8" s="947"/>
      <c r="E8" s="702" t="str">
        <f>'État des Résultats'!E8</f>
        <v>Pér.01</v>
      </c>
      <c r="F8" s="780" t="str">
        <f>'État des Résultats'!AD8</f>
        <v>(%)</v>
      </c>
      <c r="G8" s="385"/>
      <c r="H8" s="702" t="str">
        <f>'État des Résultats'!H8</f>
        <v>Pér.02</v>
      </c>
      <c r="I8" s="780" t="str">
        <f>F8</f>
        <v>(%)</v>
      </c>
      <c r="J8" s="385"/>
      <c r="K8" s="702" t="str">
        <f>'État des Résultats'!K8</f>
        <v>Pér.03</v>
      </c>
      <c r="L8" s="780" t="str">
        <f>I8</f>
        <v>(%)</v>
      </c>
      <c r="M8" s="385"/>
      <c r="N8" s="702" t="str">
        <f>'État des Résultats'!N8</f>
        <v>Pér.04</v>
      </c>
      <c r="O8" s="780" t="str">
        <f>L8</f>
        <v>(%)</v>
      </c>
      <c r="P8" s="440"/>
      <c r="Q8" s="702" t="str">
        <f>'État des Résultats'!Q8</f>
        <v>Pér.05</v>
      </c>
      <c r="R8" s="780" t="str">
        <f>O8</f>
        <v>(%)</v>
      </c>
      <c r="S8" s="440"/>
      <c r="T8" s="702" t="str">
        <f>'État des Résultats'!T8</f>
        <v>Pér.06</v>
      </c>
      <c r="U8" s="780" t="str">
        <f>R8</f>
        <v>(%)</v>
      </c>
      <c r="V8" s="385"/>
      <c r="W8" s="702" t="str">
        <f>'État des Résultats'!W8</f>
        <v>Pér.07</v>
      </c>
      <c r="X8" s="780" t="str">
        <f>U8</f>
        <v>(%)</v>
      </c>
      <c r="Y8" s="385"/>
      <c r="Z8" s="702" t="str">
        <f>'État des Résultats'!Z8</f>
        <v>Pér.08</v>
      </c>
      <c r="AA8" s="780" t="str">
        <f>X8</f>
        <v>(%)</v>
      </c>
      <c r="AB8" s="385"/>
      <c r="AC8" s="702" t="str">
        <f>'État des Résultats'!AC8</f>
        <v>Pér.09</v>
      </c>
      <c r="AD8" s="780" t="str">
        <f>AA8</f>
        <v>(%)</v>
      </c>
      <c r="AE8" s="385"/>
      <c r="AF8" s="702" t="str">
        <f>'État des Résultats'!AF8</f>
        <v>Pér.10</v>
      </c>
      <c r="AG8" s="780" t="str">
        <f>AD8</f>
        <v>(%)</v>
      </c>
      <c r="AH8" s="385"/>
      <c r="AI8" s="702" t="str">
        <f>'État des Résultats'!AI8</f>
        <v>Pér.11</v>
      </c>
      <c r="AJ8" s="780" t="str">
        <f>AG8</f>
        <v>(%)</v>
      </c>
      <c r="AK8" s="385"/>
      <c r="AL8" s="702" t="str">
        <f>'État des Résultats'!AL8</f>
        <v>Pér.12</v>
      </c>
      <c r="AM8" s="780" t="str">
        <f>AJ8</f>
        <v>(%)</v>
      </c>
      <c r="AN8" s="703" t="s">
        <v>2</v>
      </c>
      <c r="AO8" s="385"/>
      <c r="AP8" s="704" t="str">
        <f>'État des Résultats'!AP8</f>
        <v>Total</v>
      </c>
      <c r="AQ8" s="780" t="str">
        <f>AM8</f>
        <v>(%)</v>
      </c>
      <c r="AS8" s="900"/>
      <c r="AT8" s="376"/>
      <c r="AU8" s="376"/>
      <c r="AV8" s="376"/>
      <c r="AW8" s="376"/>
      <c r="AX8" s="376"/>
      <c r="AY8" s="376"/>
      <c r="AZ8" s="376"/>
      <c r="BA8" s="376"/>
      <c r="BB8" s="376"/>
      <c r="BC8" s="903"/>
    </row>
    <row r="9" spans="2:56" ht="15" thickTop="1" thickBot="1" x14ac:dyDescent="0.2">
      <c r="B9" s="956">
        <f>AP31/$B$7</f>
        <v>240</v>
      </c>
      <c r="C9" s="957"/>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28" t="str">
        <f>'État des Résultats'!AP9</f>
        <v>Année</v>
      </c>
      <c r="AQ9" s="729"/>
      <c r="AR9" s="762"/>
      <c r="AS9" s="762"/>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7" thickTop="1" x14ac:dyDescent="0.2">
      <c r="B11" s="706"/>
      <c r="C11" s="775" t="s">
        <v>355</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79">
        <v>7902</v>
      </c>
      <c r="C13" s="394" t="s">
        <v>356</v>
      </c>
      <c r="E13" s="710">
        <v>0</v>
      </c>
      <c r="F13" s="711">
        <f>E13/'État des Résultats'!E$14</f>
        <v>0</v>
      </c>
      <c r="H13" s="710">
        <v>0</v>
      </c>
      <c r="I13" s="711">
        <f>H13/'État des Résultats'!H$14</f>
        <v>0</v>
      </c>
      <c r="K13" s="710">
        <v>0</v>
      </c>
      <c r="L13" s="711">
        <f>K13/'État des Résultats'!K$14</f>
        <v>0</v>
      </c>
      <c r="N13" s="710">
        <v>0</v>
      </c>
      <c r="O13" s="711">
        <f>N13/'État des Résultats'!N$14</f>
        <v>0</v>
      </c>
      <c r="Q13" s="710">
        <v>0</v>
      </c>
      <c r="R13" s="711">
        <f>Q13/'État des Résultats'!Q$14</f>
        <v>0</v>
      </c>
      <c r="T13" s="710">
        <v>0</v>
      </c>
      <c r="U13" s="711">
        <f>T13/'État des Résultats'!T$14</f>
        <v>0</v>
      </c>
      <c r="W13" s="710">
        <v>0</v>
      </c>
      <c r="X13" s="711">
        <f>W13/'État des Résultats'!W$14</f>
        <v>0</v>
      </c>
      <c r="Z13" s="710">
        <v>0</v>
      </c>
      <c r="AA13" s="711">
        <f>Z13/'État des Résultats'!Z$14</f>
        <v>0</v>
      </c>
      <c r="AC13" s="710">
        <v>0</v>
      </c>
      <c r="AD13" s="711">
        <f>AC13/'État des Résultats'!AC$14</f>
        <v>0</v>
      </c>
      <c r="AF13" s="710">
        <v>0</v>
      </c>
      <c r="AG13" s="711">
        <f>AF13/'État des Résultats'!AF$14</f>
        <v>0</v>
      </c>
      <c r="AI13" s="710">
        <v>0</v>
      </c>
      <c r="AJ13" s="711">
        <f>AI13/'État des Résultats'!AI$14</f>
        <v>0</v>
      </c>
      <c r="AL13" s="710">
        <v>0</v>
      </c>
      <c r="AM13" s="711">
        <f>AL13/'État des Résultats'!AL$14</f>
        <v>0</v>
      </c>
      <c r="AP13" s="712">
        <f>SUM(+$AL13+$AI13+$AF13+$AC13+$Z13+$W13+$T13+$Q13+$N13+$K13+$H13+$E13)</f>
        <v>0</v>
      </c>
      <c r="AQ13" s="713">
        <f>AP13/'État des Résultats'!$AP$14</f>
        <v>0</v>
      </c>
    </row>
    <row r="14" spans="2:56" x14ac:dyDescent="0.15">
      <c r="B14" s="709">
        <v>7904</v>
      </c>
      <c r="C14" s="394" t="s">
        <v>357</v>
      </c>
      <c r="E14" s="710">
        <v>0</v>
      </c>
      <c r="F14" s="711">
        <f>E14/'État des Résultats'!E$14</f>
        <v>0</v>
      </c>
      <c r="H14" s="710">
        <v>0</v>
      </c>
      <c r="I14" s="711">
        <f>H14/'État des Résultats'!H$14</f>
        <v>0</v>
      </c>
      <c r="K14" s="710">
        <v>0</v>
      </c>
      <c r="L14" s="711">
        <f>K14/'État des Résultats'!K$14</f>
        <v>0</v>
      </c>
      <c r="N14" s="710">
        <v>0</v>
      </c>
      <c r="O14" s="711">
        <f>N14/'État des Résultats'!N$14</f>
        <v>0</v>
      </c>
      <c r="Q14" s="710">
        <v>0</v>
      </c>
      <c r="R14" s="711">
        <f>Q14/'État des Résultats'!Q$14</f>
        <v>0</v>
      </c>
      <c r="T14" s="710">
        <v>0</v>
      </c>
      <c r="U14" s="711">
        <f>T14/'État des Résultats'!T$14</f>
        <v>0</v>
      </c>
      <c r="W14" s="710">
        <v>0</v>
      </c>
      <c r="X14" s="711">
        <f>W14/'État des Résultats'!W$14</f>
        <v>0</v>
      </c>
      <c r="Z14" s="710">
        <v>0</v>
      </c>
      <c r="AA14" s="711">
        <f>Z14/'État des Résultats'!Z$14</f>
        <v>0</v>
      </c>
      <c r="AC14" s="710">
        <v>0</v>
      </c>
      <c r="AD14" s="711">
        <f>AC14/'État des Résultats'!AC$14</f>
        <v>0</v>
      </c>
      <c r="AF14" s="710">
        <v>0</v>
      </c>
      <c r="AG14" s="711">
        <f>AF14/'État des Résultats'!AF$14</f>
        <v>0</v>
      </c>
      <c r="AI14" s="710">
        <v>0</v>
      </c>
      <c r="AJ14" s="711">
        <f>AI14/'État des Résultats'!AI$14</f>
        <v>0</v>
      </c>
      <c r="AL14" s="710">
        <v>0</v>
      </c>
      <c r="AM14" s="711">
        <f>AL14/'État des Résultats'!AL$14</f>
        <v>0</v>
      </c>
      <c r="AP14" s="712">
        <f>SUM(+$AL14+$AI14+$AF14+$AC14+$Z14+$W14+$T14+$Q14+$N14+$K14+$H14+$E14)</f>
        <v>0</v>
      </c>
      <c r="AQ14" s="713">
        <f>AP14/'État des Résultats'!$AP$14</f>
        <v>0</v>
      </c>
    </row>
    <row r="15" spans="2:56" x14ac:dyDescent="0.15">
      <c r="B15" s="709">
        <v>7906</v>
      </c>
      <c r="C15" s="394" t="s">
        <v>358</v>
      </c>
      <c r="E15" s="710">
        <v>0</v>
      </c>
      <c r="F15" s="711">
        <f>E15/'État des Résultats'!E$14</f>
        <v>0</v>
      </c>
      <c r="G15" s="716" t="s">
        <v>2</v>
      </c>
      <c r="H15" s="710">
        <v>0</v>
      </c>
      <c r="I15" s="711">
        <f>H15/'État des Résultats'!H$14</f>
        <v>0</v>
      </c>
      <c r="K15" s="710">
        <v>0</v>
      </c>
      <c r="L15" s="711">
        <f>K15/'État des Résultats'!K$14</f>
        <v>0</v>
      </c>
      <c r="N15" s="710">
        <v>0</v>
      </c>
      <c r="O15" s="711">
        <f>N15/'État des Résultats'!N$14</f>
        <v>0</v>
      </c>
      <c r="Q15" s="710">
        <v>0</v>
      </c>
      <c r="R15" s="711">
        <f>Q15/'État des Résultats'!Q$14</f>
        <v>0</v>
      </c>
      <c r="T15" s="710">
        <v>0</v>
      </c>
      <c r="U15" s="711">
        <f>T15/'État des Résultats'!T$14</f>
        <v>0</v>
      </c>
      <c r="W15" s="710">
        <v>0</v>
      </c>
      <c r="X15" s="711">
        <f>W15/'État des Résultats'!W$14</f>
        <v>0</v>
      </c>
      <c r="Z15" s="710">
        <v>0</v>
      </c>
      <c r="AA15" s="711">
        <f>Z15/'État des Résultats'!Z$14</f>
        <v>0</v>
      </c>
      <c r="AC15" s="710">
        <v>0</v>
      </c>
      <c r="AD15" s="711">
        <f>AC15/'État des Résultats'!AC$14</f>
        <v>0</v>
      </c>
      <c r="AF15" s="710">
        <v>0</v>
      </c>
      <c r="AG15" s="711">
        <f>AF15/'État des Résultats'!AF$14</f>
        <v>0</v>
      </c>
      <c r="AI15" s="710">
        <v>0</v>
      </c>
      <c r="AJ15" s="711">
        <f>AI15/'État des Résultats'!AI$14</f>
        <v>0</v>
      </c>
      <c r="AL15" s="710">
        <v>0</v>
      </c>
      <c r="AM15" s="711">
        <f>AL15/'État des Résultats'!AL$14</f>
        <v>0</v>
      </c>
      <c r="AP15" s="712">
        <f t="shared" ref="AP15:AP29" si="0">SUM(+$AL15+$AI15+$AF15+$AC15+$Z15+$W15+$T15+$Q15+$N15+$K15+$H15+$E15)</f>
        <v>0</v>
      </c>
      <c r="AQ15" s="713">
        <f>AP15/'État des Résultats'!$AP$14</f>
        <v>0</v>
      </c>
    </row>
    <row r="16" spans="2:56" x14ac:dyDescent="0.15">
      <c r="B16" s="709">
        <v>7908</v>
      </c>
      <c r="C16" s="394" t="s">
        <v>359</v>
      </c>
      <c r="E16" s="710">
        <v>0</v>
      </c>
      <c r="F16" s="711">
        <f>E16/'État des Résultats'!E$14</f>
        <v>0</v>
      </c>
      <c r="H16" s="710">
        <v>0</v>
      </c>
      <c r="I16" s="711">
        <f>H16/'État des Résultats'!H$14</f>
        <v>0</v>
      </c>
      <c r="K16" s="710">
        <v>0</v>
      </c>
      <c r="L16" s="711">
        <f>K16/'État des Résultats'!K$14</f>
        <v>0</v>
      </c>
      <c r="N16" s="710">
        <v>0</v>
      </c>
      <c r="O16" s="711">
        <f>N16/'État des Résultats'!N$14</f>
        <v>0</v>
      </c>
      <c r="Q16" s="710">
        <v>0</v>
      </c>
      <c r="R16" s="711">
        <f>Q16/'État des Résultats'!Q$14</f>
        <v>0</v>
      </c>
      <c r="T16" s="710">
        <v>0</v>
      </c>
      <c r="U16" s="711">
        <f>T16/'État des Résultats'!T$14</f>
        <v>0</v>
      </c>
      <c r="W16" s="710">
        <v>0</v>
      </c>
      <c r="X16" s="711">
        <f>W16/'État des Résultats'!W$14</f>
        <v>0</v>
      </c>
      <c r="Z16" s="710">
        <v>0</v>
      </c>
      <c r="AA16" s="711">
        <f>Z16/'État des Résultats'!Z$14</f>
        <v>0</v>
      </c>
      <c r="AC16" s="710">
        <v>0</v>
      </c>
      <c r="AD16" s="711">
        <f>AC16/'État des Résultats'!AC$14</f>
        <v>0</v>
      </c>
      <c r="AF16" s="710">
        <v>0</v>
      </c>
      <c r="AG16" s="711">
        <f>AF16/'État des Résultats'!AF$14</f>
        <v>0</v>
      </c>
      <c r="AI16" s="710">
        <v>0</v>
      </c>
      <c r="AJ16" s="711">
        <f>AI16/'État des Résultats'!AI$14</f>
        <v>0</v>
      </c>
      <c r="AL16" s="710">
        <v>0</v>
      </c>
      <c r="AM16" s="711">
        <f>AL16/'État des Résultats'!AL$14</f>
        <v>0</v>
      </c>
      <c r="AP16" s="712">
        <f t="shared" si="0"/>
        <v>0</v>
      </c>
      <c r="AQ16" s="713">
        <f>AP16/'État des Résultats'!$AP$14</f>
        <v>0</v>
      </c>
    </row>
    <row r="17" spans="2:47" x14ac:dyDescent="0.15">
      <c r="B17" s="709">
        <v>7910</v>
      </c>
      <c r="C17" s="394" t="s">
        <v>360</v>
      </c>
      <c r="E17" s="710">
        <v>0</v>
      </c>
      <c r="F17" s="711">
        <f>E17/'État des Résultats'!E$14</f>
        <v>0</v>
      </c>
      <c r="H17" s="710">
        <v>0</v>
      </c>
      <c r="I17" s="711">
        <f>H17/'État des Résultats'!H$14</f>
        <v>0</v>
      </c>
      <c r="K17" s="710">
        <v>0</v>
      </c>
      <c r="L17" s="711">
        <f>K17/'État des Résultats'!K$14</f>
        <v>0</v>
      </c>
      <c r="N17" s="710">
        <v>0</v>
      </c>
      <c r="O17" s="711">
        <f>N17/'État des Résultats'!N$14</f>
        <v>0</v>
      </c>
      <c r="Q17" s="710">
        <v>0</v>
      </c>
      <c r="R17" s="711">
        <f>Q17/'État des Résultats'!Q$14</f>
        <v>0</v>
      </c>
      <c r="T17" s="710">
        <v>0</v>
      </c>
      <c r="U17" s="711">
        <f>T17/'État des Résultats'!T$14</f>
        <v>0</v>
      </c>
      <c r="W17" s="710">
        <v>0</v>
      </c>
      <c r="X17" s="711">
        <f>W17/'État des Résultats'!W$14</f>
        <v>0</v>
      </c>
      <c r="Z17" s="710">
        <v>0</v>
      </c>
      <c r="AA17" s="711">
        <f>Z17/'État des Résultats'!Z$14</f>
        <v>0</v>
      </c>
      <c r="AC17" s="710">
        <v>0</v>
      </c>
      <c r="AD17" s="711">
        <f>AC17/'État des Résultats'!AC$14</f>
        <v>0</v>
      </c>
      <c r="AF17" s="710">
        <v>0</v>
      </c>
      <c r="AG17" s="711">
        <f>AF17/'État des Résultats'!AF$14</f>
        <v>0</v>
      </c>
      <c r="AI17" s="710">
        <v>0</v>
      </c>
      <c r="AJ17" s="711">
        <f>AI17/'État des Résultats'!AI$14</f>
        <v>0</v>
      </c>
      <c r="AL17" s="710">
        <v>0</v>
      </c>
      <c r="AM17" s="711">
        <f>AL17/'État des Résultats'!AL$14</f>
        <v>0</v>
      </c>
      <c r="AP17" s="712">
        <f t="shared" si="0"/>
        <v>0</v>
      </c>
      <c r="AQ17" s="713">
        <f>AP17/'État des Résultats'!$AP$14</f>
        <v>0</v>
      </c>
    </row>
    <row r="18" spans="2:47" x14ac:dyDescent="0.15">
      <c r="B18" s="709">
        <v>7912</v>
      </c>
      <c r="C18" s="394" t="s">
        <v>361</v>
      </c>
      <c r="E18" s="710">
        <v>0</v>
      </c>
      <c r="F18" s="711">
        <f>E18/'État des Résultats'!E$14</f>
        <v>0</v>
      </c>
      <c r="H18" s="710">
        <v>0</v>
      </c>
      <c r="I18" s="711">
        <f>H18/'État des Résultats'!H$14</f>
        <v>0</v>
      </c>
      <c r="K18" s="710">
        <v>0</v>
      </c>
      <c r="L18" s="711">
        <f>K18/'État des Résultats'!K$14</f>
        <v>0</v>
      </c>
      <c r="N18" s="710">
        <v>0</v>
      </c>
      <c r="O18" s="711">
        <f>N18/'État des Résultats'!N$14</f>
        <v>0</v>
      </c>
      <c r="Q18" s="710">
        <v>0</v>
      </c>
      <c r="R18" s="711">
        <f>Q18/'État des Résultats'!Q$14</f>
        <v>0</v>
      </c>
      <c r="T18" s="710">
        <v>0</v>
      </c>
      <c r="U18" s="711">
        <f>T18/'État des Résultats'!T$14</f>
        <v>0</v>
      </c>
      <c r="W18" s="710">
        <v>0</v>
      </c>
      <c r="X18" s="711">
        <f>W18/'État des Résultats'!W$14</f>
        <v>0</v>
      </c>
      <c r="Z18" s="710">
        <v>0</v>
      </c>
      <c r="AA18" s="711">
        <f>Z18/'État des Résultats'!Z$14</f>
        <v>0</v>
      </c>
      <c r="AC18" s="710">
        <v>0</v>
      </c>
      <c r="AD18" s="711">
        <f>AC18/'État des Résultats'!AC$14</f>
        <v>0</v>
      </c>
      <c r="AF18" s="710">
        <v>0</v>
      </c>
      <c r="AG18" s="711">
        <f>AF18/'État des Résultats'!AF$14</f>
        <v>0</v>
      </c>
      <c r="AI18" s="710">
        <v>0</v>
      </c>
      <c r="AJ18" s="711">
        <f>AI18/'État des Résultats'!AI$14</f>
        <v>0</v>
      </c>
      <c r="AL18" s="710">
        <v>0</v>
      </c>
      <c r="AM18" s="711">
        <f>AL18/'État des Résultats'!AL$14</f>
        <v>0</v>
      </c>
      <c r="AP18" s="712">
        <f t="shared" si="0"/>
        <v>0</v>
      </c>
      <c r="AQ18" s="713">
        <f>AP18/'État des Résultats'!$AP$14</f>
        <v>0</v>
      </c>
      <c r="AS18" s="210"/>
    </row>
    <row r="19" spans="2:47" x14ac:dyDescent="0.15">
      <c r="B19" s="709">
        <v>7914</v>
      </c>
      <c r="C19" s="394" t="s">
        <v>362</v>
      </c>
      <c r="E19" s="710">
        <v>0</v>
      </c>
      <c r="F19" s="711">
        <f>E19/'État des Résultats'!E$14</f>
        <v>0</v>
      </c>
      <c r="H19" s="710">
        <v>0</v>
      </c>
      <c r="I19" s="711">
        <f>H19/'État des Résultats'!H$14</f>
        <v>0</v>
      </c>
      <c r="K19" s="710">
        <v>0</v>
      </c>
      <c r="L19" s="711">
        <f>K19/'État des Résultats'!K$14</f>
        <v>0</v>
      </c>
      <c r="N19" s="710">
        <v>0</v>
      </c>
      <c r="O19" s="711">
        <f>N19/'État des Résultats'!N$14</f>
        <v>0</v>
      </c>
      <c r="Q19" s="710">
        <v>0</v>
      </c>
      <c r="R19" s="711">
        <f>Q19/'État des Résultats'!Q$14</f>
        <v>0</v>
      </c>
      <c r="T19" s="710">
        <v>0</v>
      </c>
      <c r="U19" s="711">
        <f>T19/'État des Résultats'!T$14</f>
        <v>0</v>
      </c>
      <c r="W19" s="710">
        <v>0</v>
      </c>
      <c r="X19" s="711">
        <f>W19/'État des Résultats'!W$14</f>
        <v>0</v>
      </c>
      <c r="Z19" s="710">
        <v>0</v>
      </c>
      <c r="AA19" s="711">
        <f>Z19/'État des Résultats'!Z$14</f>
        <v>0</v>
      </c>
      <c r="AC19" s="710">
        <v>0</v>
      </c>
      <c r="AD19" s="711">
        <f>AC19/'État des Résultats'!AC$14</f>
        <v>0</v>
      </c>
      <c r="AF19" s="710">
        <v>0</v>
      </c>
      <c r="AG19" s="711">
        <f>AF19/'État des Résultats'!AF$14</f>
        <v>0</v>
      </c>
      <c r="AI19" s="710">
        <v>0</v>
      </c>
      <c r="AJ19" s="711">
        <f>AI19/'État des Résultats'!AI$14</f>
        <v>0</v>
      </c>
      <c r="AL19" s="710">
        <v>0</v>
      </c>
      <c r="AM19" s="711">
        <f>AL19/'État des Résultats'!AL$14</f>
        <v>0</v>
      </c>
      <c r="AP19" s="712">
        <f t="shared" si="0"/>
        <v>0</v>
      </c>
      <c r="AQ19" s="713">
        <f>AP19/'État des Résultats'!$AP$14</f>
        <v>0</v>
      </c>
    </row>
    <row r="20" spans="2:47" x14ac:dyDescent="0.15">
      <c r="B20" s="779">
        <v>7916</v>
      </c>
      <c r="C20" s="394" t="s">
        <v>363</v>
      </c>
      <c r="E20" s="710">
        <v>0</v>
      </c>
      <c r="F20" s="711">
        <f>E20/'État des Résultats'!E$14</f>
        <v>0</v>
      </c>
      <c r="H20" s="710">
        <v>0</v>
      </c>
      <c r="I20" s="711">
        <f>H20/'État des Résultats'!H$14</f>
        <v>0</v>
      </c>
      <c r="K20" s="710">
        <v>0</v>
      </c>
      <c r="L20" s="711">
        <f>K20/'État des Résultats'!K$14</f>
        <v>0</v>
      </c>
      <c r="N20" s="710">
        <v>0</v>
      </c>
      <c r="O20" s="711">
        <f>N20/'État des Résultats'!N$14</f>
        <v>0</v>
      </c>
      <c r="Q20" s="710">
        <v>0</v>
      </c>
      <c r="R20" s="711">
        <f>Q20/'État des Résultats'!Q$14</f>
        <v>0</v>
      </c>
      <c r="T20" s="710">
        <v>0</v>
      </c>
      <c r="U20" s="711">
        <f>T20/'État des Résultats'!T$14</f>
        <v>0</v>
      </c>
      <c r="W20" s="710">
        <v>0</v>
      </c>
      <c r="X20" s="711">
        <f>W20/'État des Résultats'!W$14</f>
        <v>0</v>
      </c>
      <c r="Z20" s="710">
        <v>0</v>
      </c>
      <c r="AA20" s="711">
        <f>Z20/'État des Résultats'!Z$14</f>
        <v>0</v>
      </c>
      <c r="AC20" s="710">
        <v>0</v>
      </c>
      <c r="AD20" s="711">
        <f>AC20/'État des Résultats'!AC$14</f>
        <v>0</v>
      </c>
      <c r="AF20" s="710">
        <v>0</v>
      </c>
      <c r="AG20" s="711">
        <f>AF20/'État des Résultats'!AF$14</f>
        <v>0</v>
      </c>
      <c r="AI20" s="710">
        <v>0</v>
      </c>
      <c r="AJ20" s="711">
        <f>AI20/'État des Résultats'!AI$14</f>
        <v>0</v>
      </c>
      <c r="AL20" s="710">
        <v>0</v>
      </c>
      <c r="AM20" s="711">
        <f>AL20/'État des Résultats'!AL$14</f>
        <v>0</v>
      </c>
      <c r="AP20" s="712">
        <f t="shared" si="0"/>
        <v>0</v>
      </c>
      <c r="AQ20" s="713">
        <f>AP20/'État des Résultats'!$AP$14</f>
        <v>0</v>
      </c>
    </row>
    <row r="21" spans="2:47" x14ac:dyDescent="0.15">
      <c r="B21" s="709">
        <v>7918</v>
      </c>
      <c r="C21" s="394" t="s">
        <v>364</v>
      </c>
      <c r="E21" s="710">
        <v>0</v>
      </c>
      <c r="F21" s="711">
        <f>E21/'État des Résultats'!E$14</f>
        <v>0</v>
      </c>
      <c r="H21" s="710">
        <v>0</v>
      </c>
      <c r="I21" s="711">
        <f>H21/'État des Résultats'!H$14</f>
        <v>0</v>
      </c>
      <c r="K21" s="710">
        <v>0</v>
      </c>
      <c r="L21" s="711">
        <f>K21/'État des Résultats'!K$14</f>
        <v>0</v>
      </c>
      <c r="N21" s="710">
        <v>0</v>
      </c>
      <c r="O21" s="711">
        <f>N21/'État des Résultats'!N$14</f>
        <v>0</v>
      </c>
      <c r="Q21" s="710">
        <v>0</v>
      </c>
      <c r="R21" s="711">
        <f>Q21/'État des Résultats'!Q$14</f>
        <v>0</v>
      </c>
      <c r="T21" s="710">
        <v>0</v>
      </c>
      <c r="U21" s="711">
        <f>T21/'État des Résultats'!T$14</f>
        <v>0</v>
      </c>
      <c r="W21" s="710">
        <v>0</v>
      </c>
      <c r="X21" s="711">
        <f>W21/'État des Résultats'!W$14</f>
        <v>0</v>
      </c>
      <c r="Z21" s="710">
        <v>0</v>
      </c>
      <c r="AA21" s="711">
        <f>Z21/'État des Résultats'!Z$14</f>
        <v>0</v>
      </c>
      <c r="AC21" s="710">
        <v>0</v>
      </c>
      <c r="AD21" s="711">
        <f>AC21/'État des Résultats'!AC$14</f>
        <v>0</v>
      </c>
      <c r="AF21" s="710">
        <v>0</v>
      </c>
      <c r="AG21" s="711">
        <f>AF21/'État des Résultats'!AF$14</f>
        <v>0</v>
      </c>
      <c r="AI21" s="710">
        <v>0</v>
      </c>
      <c r="AJ21" s="711">
        <f>AI21/'État des Résultats'!AI$14</f>
        <v>0</v>
      </c>
      <c r="AL21" s="710">
        <v>0</v>
      </c>
      <c r="AM21" s="711">
        <f>AL21/'État des Résultats'!AL$14</f>
        <v>0</v>
      </c>
      <c r="AP21" s="712">
        <f t="shared" si="0"/>
        <v>0</v>
      </c>
      <c r="AQ21" s="713">
        <f>AP21/'État des Résultats'!$AP$14</f>
        <v>0</v>
      </c>
    </row>
    <row r="22" spans="2:47" x14ac:dyDescent="0.15">
      <c r="B22" s="709">
        <v>7920</v>
      </c>
      <c r="C22" s="394" t="s">
        <v>365</v>
      </c>
      <c r="E22" s="710">
        <v>0</v>
      </c>
      <c r="F22" s="711">
        <f>E22/'État des Résultats'!E$14</f>
        <v>0</v>
      </c>
      <c r="H22" s="710">
        <v>0</v>
      </c>
      <c r="I22" s="711">
        <f>H22/'État des Résultats'!H$14</f>
        <v>0</v>
      </c>
      <c r="K22" s="710">
        <v>0</v>
      </c>
      <c r="L22" s="711">
        <f>K22/'État des Résultats'!K$14</f>
        <v>0</v>
      </c>
      <c r="N22" s="710">
        <v>0</v>
      </c>
      <c r="O22" s="711">
        <f>N22/'État des Résultats'!N$14</f>
        <v>0</v>
      </c>
      <c r="Q22" s="710">
        <v>0</v>
      </c>
      <c r="R22" s="711">
        <f>Q22/'État des Résultats'!Q$14</f>
        <v>0</v>
      </c>
      <c r="T22" s="710">
        <v>0</v>
      </c>
      <c r="U22" s="711">
        <f>T22/'État des Résultats'!T$14</f>
        <v>0</v>
      </c>
      <c r="W22" s="710">
        <v>0</v>
      </c>
      <c r="X22" s="711">
        <f>W22/'État des Résultats'!W$14</f>
        <v>0</v>
      </c>
      <c r="Z22" s="710">
        <v>0</v>
      </c>
      <c r="AA22" s="711">
        <f>Z22/'État des Résultats'!Z$14</f>
        <v>0</v>
      </c>
      <c r="AC22" s="710">
        <v>0</v>
      </c>
      <c r="AD22" s="711">
        <f>AC22/'État des Résultats'!AC$14</f>
        <v>0</v>
      </c>
      <c r="AF22" s="710">
        <v>0</v>
      </c>
      <c r="AG22" s="711">
        <f>AF22/'État des Résultats'!AF$14</f>
        <v>0</v>
      </c>
      <c r="AI22" s="710">
        <v>0</v>
      </c>
      <c r="AJ22" s="711">
        <f>AI22/'État des Résultats'!AI$14</f>
        <v>0</v>
      </c>
      <c r="AL22" s="710">
        <v>0</v>
      </c>
      <c r="AM22" s="711">
        <f>AL22/'État des Résultats'!AL$14</f>
        <v>0</v>
      </c>
      <c r="AP22" s="712">
        <f t="shared" si="0"/>
        <v>0</v>
      </c>
      <c r="AQ22" s="713">
        <f>AP22/'État des Résultats'!$AP$14</f>
        <v>0</v>
      </c>
    </row>
    <row r="23" spans="2:47" x14ac:dyDescent="0.15">
      <c r="B23" s="709">
        <v>7922</v>
      </c>
      <c r="C23" s="394" t="s">
        <v>366</v>
      </c>
      <c r="E23" s="710">
        <v>0</v>
      </c>
      <c r="F23" s="711">
        <f>E23/'État des Résultats'!E$14</f>
        <v>0</v>
      </c>
      <c r="H23" s="710">
        <v>0</v>
      </c>
      <c r="I23" s="711">
        <f>H23/'État des Résultats'!H$14</f>
        <v>0</v>
      </c>
      <c r="K23" s="710">
        <v>0</v>
      </c>
      <c r="L23" s="711">
        <f>K23/'État des Résultats'!K$14</f>
        <v>0</v>
      </c>
      <c r="N23" s="710">
        <v>0</v>
      </c>
      <c r="O23" s="711">
        <f>N23/'État des Résultats'!N$14</f>
        <v>0</v>
      </c>
      <c r="Q23" s="710">
        <v>0</v>
      </c>
      <c r="R23" s="711">
        <f>Q23/'État des Résultats'!Q$14</f>
        <v>0</v>
      </c>
      <c r="T23" s="710">
        <v>0</v>
      </c>
      <c r="U23" s="711">
        <f>T23/'État des Résultats'!T$14</f>
        <v>0</v>
      </c>
      <c r="W23" s="710">
        <v>0</v>
      </c>
      <c r="X23" s="711">
        <f>W23/'État des Résultats'!W$14</f>
        <v>0</v>
      </c>
      <c r="Z23" s="710">
        <v>0</v>
      </c>
      <c r="AA23" s="711">
        <f>Z23/'État des Résultats'!Z$14</f>
        <v>0</v>
      </c>
      <c r="AC23" s="710">
        <v>0</v>
      </c>
      <c r="AD23" s="711">
        <f>AC23/'État des Résultats'!AC$14</f>
        <v>0</v>
      </c>
      <c r="AF23" s="710">
        <v>0</v>
      </c>
      <c r="AG23" s="711">
        <f>AF23/'État des Résultats'!AF$14</f>
        <v>0</v>
      </c>
      <c r="AI23" s="710">
        <v>0</v>
      </c>
      <c r="AJ23" s="711">
        <f>AI23/'État des Résultats'!AI$14</f>
        <v>0</v>
      </c>
      <c r="AL23" s="710">
        <v>0</v>
      </c>
      <c r="AM23" s="711">
        <f>AL23/'État des Résultats'!AL$14</f>
        <v>0</v>
      </c>
      <c r="AP23" s="712">
        <f t="shared" si="0"/>
        <v>0</v>
      </c>
      <c r="AQ23" s="713">
        <f>AP23/'État des Résultats'!$AP$14</f>
        <v>0</v>
      </c>
    </row>
    <row r="24" spans="2:47" x14ac:dyDescent="0.15">
      <c r="B24" s="709">
        <v>7924</v>
      </c>
      <c r="C24" s="394" t="s">
        <v>367</v>
      </c>
      <c r="E24" s="710">
        <v>0</v>
      </c>
      <c r="F24" s="711">
        <f>E24/'État des Résultats'!E$14</f>
        <v>0</v>
      </c>
      <c r="H24" s="710">
        <v>0</v>
      </c>
      <c r="I24" s="711">
        <f>H24/'État des Résultats'!H$14</f>
        <v>0</v>
      </c>
      <c r="K24" s="710">
        <v>0</v>
      </c>
      <c r="L24" s="711">
        <f>K24/'État des Résultats'!K$14</f>
        <v>0</v>
      </c>
      <c r="N24" s="710">
        <v>0</v>
      </c>
      <c r="O24" s="711">
        <f>N24/'État des Résultats'!N$14</f>
        <v>0</v>
      </c>
      <c r="Q24" s="710">
        <v>0</v>
      </c>
      <c r="R24" s="711">
        <f>Q24/'État des Résultats'!Q$14</f>
        <v>0</v>
      </c>
      <c r="T24" s="710">
        <v>0</v>
      </c>
      <c r="U24" s="711">
        <f>T24/'État des Résultats'!T$14</f>
        <v>0</v>
      </c>
      <c r="W24" s="710">
        <v>0</v>
      </c>
      <c r="X24" s="711">
        <f>W24/'État des Résultats'!W$14</f>
        <v>0</v>
      </c>
      <c r="Z24" s="710">
        <v>0</v>
      </c>
      <c r="AA24" s="711">
        <f>Z24/'État des Résultats'!Z$14</f>
        <v>0</v>
      </c>
      <c r="AC24" s="710">
        <v>0</v>
      </c>
      <c r="AD24" s="711">
        <f>AC24/'État des Résultats'!AC$14</f>
        <v>0</v>
      </c>
      <c r="AF24" s="710">
        <v>0</v>
      </c>
      <c r="AG24" s="711">
        <f>AF24/'État des Résultats'!AF$14</f>
        <v>0</v>
      </c>
      <c r="AI24" s="710">
        <v>0</v>
      </c>
      <c r="AJ24" s="711">
        <f>AI24/'État des Résultats'!AI$14</f>
        <v>0</v>
      </c>
      <c r="AL24" s="710">
        <v>0</v>
      </c>
      <c r="AM24" s="711">
        <f>AL24/'État des Résultats'!AL$14</f>
        <v>0</v>
      </c>
      <c r="AP24" s="712">
        <f t="shared" si="0"/>
        <v>0</v>
      </c>
      <c r="AQ24" s="713">
        <f>AP24/'État des Résultats'!$AP$14</f>
        <v>0</v>
      </c>
    </row>
    <row r="25" spans="2:47" x14ac:dyDescent="0.15">
      <c r="B25" s="709">
        <v>7928</v>
      </c>
      <c r="C25" s="394" t="s">
        <v>368</v>
      </c>
      <c r="E25" s="710">
        <v>0</v>
      </c>
      <c r="F25" s="711">
        <f>E25/'État des Résultats'!E$14</f>
        <v>0</v>
      </c>
      <c r="H25" s="710">
        <v>0</v>
      </c>
      <c r="I25" s="711">
        <f>H25/'État des Résultats'!H$14</f>
        <v>0</v>
      </c>
      <c r="K25" s="710">
        <v>0</v>
      </c>
      <c r="L25" s="711">
        <f>K25/'État des Résultats'!K$14</f>
        <v>0</v>
      </c>
      <c r="N25" s="710">
        <v>0</v>
      </c>
      <c r="O25" s="711">
        <f>N25/'État des Résultats'!N$14</f>
        <v>0</v>
      </c>
      <c r="Q25" s="710">
        <v>0</v>
      </c>
      <c r="R25" s="711">
        <f>Q25/'État des Résultats'!Q$14</f>
        <v>0</v>
      </c>
      <c r="T25" s="710">
        <v>0</v>
      </c>
      <c r="U25" s="711">
        <f>T25/'État des Résultats'!T$14</f>
        <v>0</v>
      </c>
      <c r="W25" s="710">
        <v>0</v>
      </c>
      <c r="X25" s="711">
        <f>W25/'État des Résultats'!W$14</f>
        <v>0</v>
      </c>
      <c r="Z25" s="710">
        <v>0</v>
      </c>
      <c r="AA25" s="711">
        <f>Z25/'État des Résultats'!Z$14</f>
        <v>0</v>
      </c>
      <c r="AC25" s="710">
        <v>0</v>
      </c>
      <c r="AD25" s="711">
        <f>AC25/'État des Résultats'!AC$14</f>
        <v>0</v>
      </c>
      <c r="AF25" s="710">
        <v>0</v>
      </c>
      <c r="AG25" s="711">
        <f>AF25/'État des Résultats'!AF$14</f>
        <v>0</v>
      </c>
      <c r="AI25" s="710">
        <v>0</v>
      </c>
      <c r="AJ25" s="711">
        <f>AI25/'État des Résultats'!AI$14</f>
        <v>0</v>
      </c>
      <c r="AL25" s="710">
        <v>0</v>
      </c>
      <c r="AM25" s="711">
        <f>AL25/'État des Résultats'!AL$14</f>
        <v>0</v>
      </c>
      <c r="AP25" s="712">
        <f t="shared" si="0"/>
        <v>0</v>
      </c>
      <c r="AQ25" s="713">
        <f>AP25/'État des Résultats'!$AP$14</f>
        <v>0</v>
      </c>
    </row>
    <row r="26" spans="2:47" x14ac:dyDescent="0.15">
      <c r="B26" s="709">
        <v>7990</v>
      </c>
      <c r="C26" s="394" t="s">
        <v>373</v>
      </c>
      <c r="E26" s="710">
        <v>0</v>
      </c>
      <c r="F26" s="711">
        <f>E26/'État des Résultats'!E$14</f>
        <v>0</v>
      </c>
      <c r="H26" s="710">
        <v>0</v>
      </c>
      <c r="I26" s="711">
        <f>H26/'État des Résultats'!H$14</f>
        <v>0</v>
      </c>
      <c r="K26" s="710">
        <v>0</v>
      </c>
      <c r="L26" s="711">
        <f>K26/'État des Résultats'!K$14</f>
        <v>0</v>
      </c>
      <c r="N26" s="710">
        <v>0</v>
      </c>
      <c r="O26" s="711">
        <f>N26/'État des Résultats'!N$14</f>
        <v>0</v>
      </c>
      <c r="Q26" s="710">
        <v>0</v>
      </c>
      <c r="R26" s="711">
        <f>Q26/'État des Résultats'!Q$14</f>
        <v>0</v>
      </c>
      <c r="T26" s="710">
        <v>0</v>
      </c>
      <c r="U26" s="711">
        <f>T26/'État des Résultats'!T$14</f>
        <v>0</v>
      </c>
      <c r="W26" s="710">
        <v>0</v>
      </c>
      <c r="X26" s="711">
        <f>W26/'État des Résultats'!W$14</f>
        <v>0</v>
      </c>
      <c r="Z26" s="710">
        <v>0</v>
      </c>
      <c r="AA26" s="711">
        <f>Z26/'État des Résultats'!Z$14</f>
        <v>0</v>
      </c>
      <c r="AC26" s="710">
        <v>0</v>
      </c>
      <c r="AD26" s="711">
        <f>AC26/'État des Résultats'!AC$14</f>
        <v>0</v>
      </c>
      <c r="AF26" s="710">
        <v>0</v>
      </c>
      <c r="AG26" s="711">
        <f>AF26/'État des Résultats'!AF$14</f>
        <v>0</v>
      </c>
      <c r="AI26" s="710">
        <v>0</v>
      </c>
      <c r="AJ26" s="711">
        <f>AI26/'État des Résultats'!AI$14</f>
        <v>0</v>
      </c>
      <c r="AL26" s="710">
        <v>0</v>
      </c>
      <c r="AM26" s="711">
        <f>AL26/'État des Résultats'!AL$14</f>
        <v>0</v>
      </c>
      <c r="AP26" s="712">
        <f t="shared" si="0"/>
        <v>0</v>
      </c>
      <c r="AQ26" s="713">
        <f>AP26/'État des Résultats'!$AP$14</f>
        <v>0</v>
      </c>
    </row>
    <row r="27" spans="2:47" x14ac:dyDescent="0.15">
      <c r="B27" s="779">
        <v>7996</v>
      </c>
      <c r="C27" s="394" t="s">
        <v>369</v>
      </c>
      <c r="E27" s="710">
        <v>0</v>
      </c>
      <c r="F27" s="711">
        <f>E27/'État des Résultats'!E$14</f>
        <v>0</v>
      </c>
      <c r="H27" s="710">
        <v>0</v>
      </c>
      <c r="I27" s="711">
        <f>H27/'État des Résultats'!H$14</f>
        <v>0</v>
      </c>
      <c r="K27" s="710">
        <v>0</v>
      </c>
      <c r="L27" s="711">
        <f>K27/'État des Résultats'!K$14</f>
        <v>0</v>
      </c>
      <c r="N27" s="710">
        <v>0</v>
      </c>
      <c r="O27" s="711">
        <f>N27/'État des Résultats'!N$14</f>
        <v>0</v>
      </c>
      <c r="Q27" s="710">
        <v>0</v>
      </c>
      <c r="R27" s="711">
        <f>Q27/'État des Résultats'!Q$14</f>
        <v>0</v>
      </c>
      <c r="T27" s="710">
        <v>0</v>
      </c>
      <c r="U27" s="711">
        <f>T27/'État des Résultats'!T$14</f>
        <v>0</v>
      </c>
      <c r="W27" s="710">
        <v>0</v>
      </c>
      <c r="X27" s="711">
        <f>W27/'État des Résultats'!W$14</f>
        <v>0</v>
      </c>
      <c r="Z27" s="710">
        <v>0</v>
      </c>
      <c r="AA27" s="711">
        <f>Z27/'État des Résultats'!Z$14</f>
        <v>0</v>
      </c>
      <c r="AC27" s="710">
        <v>0</v>
      </c>
      <c r="AD27" s="711">
        <f>AC27/'État des Résultats'!AC$14</f>
        <v>0</v>
      </c>
      <c r="AF27" s="710">
        <v>0</v>
      </c>
      <c r="AG27" s="711">
        <f>AF27/'État des Résultats'!AF$14</f>
        <v>0</v>
      </c>
      <c r="AI27" s="710">
        <v>0</v>
      </c>
      <c r="AJ27" s="711">
        <f>AI27/'État des Résultats'!AI$14</f>
        <v>0</v>
      </c>
      <c r="AL27" s="710">
        <v>0</v>
      </c>
      <c r="AM27" s="711">
        <f>AL27/'État des Résultats'!AL$14</f>
        <v>0</v>
      </c>
      <c r="AP27" s="712">
        <f t="shared" si="0"/>
        <v>0</v>
      </c>
      <c r="AQ27" s="713">
        <f>AP27/'État des Résultats'!$AP$14</f>
        <v>0</v>
      </c>
    </row>
    <row r="28" spans="2:47" x14ac:dyDescent="0.15">
      <c r="B28" s="709">
        <v>7998</v>
      </c>
      <c r="C28" s="394" t="s">
        <v>370</v>
      </c>
      <c r="E28" s="710">
        <v>0</v>
      </c>
      <c r="F28" s="711">
        <f>E28/'État des Résultats'!E$14</f>
        <v>0</v>
      </c>
      <c r="H28" s="710">
        <v>0</v>
      </c>
      <c r="I28" s="711">
        <f>H28/'État des Résultats'!H$14</f>
        <v>0</v>
      </c>
      <c r="K28" s="710">
        <v>0</v>
      </c>
      <c r="L28" s="711">
        <f>K28/'État des Résultats'!K$14</f>
        <v>0</v>
      </c>
      <c r="N28" s="710">
        <v>0</v>
      </c>
      <c r="O28" s="711">
        <f>N28/'État des Résultats'!N$14</f>
        <v>0</v>
      </c>
      <c r="Q28" s="710">
        <v>0</v>
      </c>
      <c r="R28" s="711">
        <f>Q28/'État des Résultats'!Q$14</f>
        <v>0</v>
      </c>
      <c r="T28" s="710">
        <v>0</v>
      </c>
      <c r="U28" s="711">
        <f>T28/'État des Résultats'!T$14</f>
        <v>0</v>
      </c>
      <c r="W28" s="710">
        <v>0</v>
      </c>
      <c r="X28" s="711">
        <f>W28/'État des Résultats'!W$14</f>
        <v>0</v>
      </c>
      <c r="Z28" s="710">
        <v>0</v>
      </c>
      <c r="AA28" s="711">
        <f>Z28/'État des Résultats'!Z$14</f>
        <v>0</v>
      </c>
      <c r="AC28" s="710">
        <v>0</v>
      </c>
      <c r="AD28" s="711">
        <f>AC28/'État des Résultats'!AC$14</f>
        <v>0</v>
      </c>
      <c r="AF28" s="710">
        <v>0</v>
      </c>
      <c r="AG28" s="711">
        <f>AF28/'État des Résultats'!AF$14</f>
        <v>0</v>
      </c>
      <c r="AI28" s="710">
        <v>0</v>
      </c>
      <c r="AJ28" s="711">
        <f>AI28/'État des Résultats'!AI$14</f>
        <v>0</v>
      </c>
      <c r="AL28" s="710">
        <v>0</v>
      </c>
      <c r="AM28" s="711">
        <f>AL28/'État des Résultats'!AL$14</f>
        <v>0</v>
      </c>
      <c r="AP28" s="712">
        <f t="shared" si="0"/>
        <v>0</v>
      </c>
      <c r="AQ28" s="713">
        <f>AP28/'État des Résultats'!$AP$14</f>
        <v>0</v>
      </c>
    </row>
    <row r="29" spans="2:47" x14ac:dyDescent="0.15">
      <c r="B29" s="709">
        <v>7999</v>
      </c>
      <c r="C29" s="394" t="s">
        <v>371</v>
      </c>
      <c r="E29" s="710">
        <v>1000</v>
      </c>
      <c r="F29" s="711">
        <f>E29/'État des Résultats'!E$14</f>
        <v>2.6106150217398965E-2</v>
      </c>
      <c r="H29" s="710">
        <v>1000</v>
      </c>
      <c r="I29" s="711">
        <f>H29/'État des Résultats'!H$14</f>
        <v>3.2114708600768566E-2</v>
      </c>
      <c r="K29" s="710">
        <v>1000</v>
      </c>
      <c r="L29" s="711">
        <f>K29/'État des Résultats'!K$14</f>
        <v>2.6106150217398965E-2</v>
      </c>
      <c r="N29" s="710">
        <v>1000</v>
      </c>
      <c r="O29" s="711">
        <f>N29/'État des Résultats'!N$14</f>
        <v>2.4523959295132361E-2</v>
      </c>
      <c r="Q29" s="710">
        <v>1000</v>
      </c>
      <c r="R29" s="711">
        <f>Q29/'État des Résultats'!Q$14</f>
        <v>2.1755125181165801E-2</v>
      </c>
      <c r="T29" s="710">
        <v>1000</v>
      </c>
      <c r="U29" s="711">
        <f>T29/'État des Résultats'!T$14</f>
        <v>1.7984236816430396E-2</v>
      </c>
      <c r="W29" s="710">
        <v>1000</v>
      </c>
      <c r="X29" s="711">
        <f>W29/'État des Résultats'!W$14</f>
        <v>1.3053075108699482E-2</v>
      </c>
      <c r="Z29" s="710">
        <v>1000</v>
      </c>
      <c r="AA29" s="711">
        <f>Z29/'État des Résultats'!Z$14</f>
        <v>1.4503416787443869E-2</v>
      </c>
      <c r="AC29" s="710">
        <v>1000</v>
      </c>
      <c r="AD29" s="711">
        <f>AC29/'État des Résultats'!AC$14</f>
        <v>2.2480296020537999E-2</v>
      </c>
      <c r="AF29" s="710">
        <v>1000</v>
      </c>
      <c r="AG29" s="711">
        <f>AF29/'État des Résultats'!AF$14</f>
        <v>2.3732863833999061E-2</v>
      </c>
      <c r="AI29" s="710">
        <v>1000</v>
      </c>
      <c r="AJ29" s="711">
        <f>AI29/'État des Résultats'!AI$14</f>
        <v>2.6976355224645598E-2</v>
      </c>
      <c r="AL29" s="710">
        <v>1000</v>
      </c>
      <c r="AM29" s="711">
        <f>AL29/'État des Résultats'!AL$14</f>
        <v>2.1755125181165801E-2</v>
      </c>
      <c r="AP29" s="712">
        <f t="shared" si="0"/>
        <v>12000</v>
      </c>
      <c r="AQ29" s="713">
        <f>AP29/'État des Résultats'!$AP$14</f>
        <v>2.1227295914475225E-2</v>
      </c>
    </row>
    <row r="30" spans="2:47" ht="14" thickBot="1" x14ac:dyDescent="0.2">
      <c r="B30" s="749"/>
      <c r="C30" s="750"/>
      <c r="D30" s="741"/>
      <c r="E30" s="714"/>
      <c r="F30" s="747"/>
      <c r="G30" s="741"/>
      <c r="H30" s="714"/>
      <c r="I30" s="747"/>
      <c r="J30" s="741"/>
      <c r="K30" s="714"/>
      <c r="L30" s="747"/>
      <c r="M30" s="741"/>
      <c r="N30" s="714"/>
      <c r="O30" s="747"/>
      <c r="P30" s="741"/>
      <c r="Q30" s="714"/>
      <c r="R30" s="747"/>
      <c r="S30" s="741"/>
      <c r="T30" s="714"/>
      <c r="U30" s="747"/>
      <c r="V30" s="741"/>
      <c r="W30" s="714"/>
      <c r="X30" s="747"/>
      <c r="Y30" s="741"/>
      <c r="Z30" s="714"/>
      <c r="AA30" s="747"/>
      <c r="AB30" s="741"/>
      <c r="AC30" s="714"/>
      <c r="AD30" s="747"/>
      <c r="AE30" s="741"/>
      <c r="AF30" s="714"/>
      <c r="AG30" s="747"/>
      <c r="AH30" s="741"/>
      <c r="AI30" s="714"/>
      <c r="AJ30" s="747"/>
      <c r="AK30" s="741"/>
      <c r="AL30" s="714"/>
      <c r="AM30" s="747"/>
      <c r="AN30" s="741"/>
      <c r="AO30" s="741"/>
      <c r="AP30" s="712"/>
      <c r="AQ30" s="748"/>
    </row>
    <row r="31" spans="2:47" ht="15" thickTop="1" thickBot="1" x14ac:dyDescent="0.2">
      <c r="B31" s="499">
        <v>7900</v>
      </c>
      <c r="C31" s="500" t="s">
        <v>372</v>
      </c>
      <c r="D31" s="214"/>
      <c r="E31" s="719">
        <f>SUM(E13:E29)</f>
        <v>1000</v>
      </c>
      <c r="F31" s="720">
        <f>E31/'État des Résultats'!E14</f>
        <v>2.6106150217398965E-2</v>
      </c>
      <c r="G31" s="214"/>
      <c r="H31" s="719">
        <f>SUM(H13:H29)</f>
        <v>1000</v>
      </c>
      <c r="I31" s="720">
        <f>H31/'État des Résultats'!H14</f>
        <v>3.2114708600768566E-2</v>
      </c>
      <c r="J31" s="214"/>
      <c r="K31" s="719">
        <f>SUM(K13:K29)</f>
        <v>1000</v>
      </c>
      <c r="L31" s="720">
        <f>K31/'État des Résultats'!K14</f>
        <v>2.6106150217398965E-2</v>
      </c>
      <c r="M31" s="214"/>
      <c r="N31" s="719">
        <f>SUM(N13:N29)</f>
        <v>1000</v>
      </c>
      <c r="O31" s="720">
        <f>N31/'État des Résultats'!N14</f>
        <v>2.4523959295132361E-2</v>
      </c>
      <c r="P31" s="214"/>
      <c r="Q31" s="719">
        <f>SUM(Q13:Q29)</f>
        <v>1000</v>
      </c>
      <c r="R31" s="720">
        <f>Q31/'État des Résultats'!Q14</f>
        <v>2.1755125181165801E-2</v>
      </c>
      <c r="S31" s="214"/>
      <c r="T31" s="719">
        <f>SUM(T13:T29)</f>
        <v>1000</v>
      </c>
      <c r="U31" s="720">
        <f>T31/'État des Résultats'!T14</f>
        <v>1.7984236816430396E-2</v>
      </c>
      <c r="V31" s="214"/>
      <c r="W31" s="719">
        <f>SUM(W13:W29)</f>
        <v>1000</v>
      </c>
      <c r="X31" s="720">
        <f>W31/'État des Résultats'!W14</f>
        <v>1.3053075108699482E-2</v>
      </c>
      <c r="Y31" s="214"/>
      <c r="Z31" s="719">
        <f>SUM(Z13:Z29)</f>
        <v>1000</v>
      </c>
      <c r="AA31" s="720">
        <f>Z31/'État des Résultats'!Z14</f>
        <v>1.4503416787443869E-2</v>
      </c>
      <c r="AB31" s="214"/>
      <c r="AC31" s="719">
        <f>SUM(AC13:AC29)</f>
        <v>1000</v>
      </c>
      <c r="AD31" s="720">
        <f>AC31/'État des Résultats'!AC14</f>
        <v>2.2480296020537999E-2</v>
      </c>
      <c r="AE31" s="214"/>
      <c r="AF31" s="719">
        <f>SUM(AF13:AF29)</f>
        <v>1000</v>
      </c>
      <c r="AG31" s="720">
        <f>AF31/'État des Résultats'!AF14</f>
        <v>2.3732863833999061E-2</v>
      </c>
      <c r="AH31" s="214"/>
      <c r="AI31" s="719">
        <f>SUM(AI13:AI29)</f>
        <v>1000</v>
      </c>
      <c r="AJ31" s="720">
        <f>AI31/'État des Résultats'!AI14</f>
        <v>2.6976355224645598E-2</v>
      </c>
      <c r="AK31" s="214"/>
      <c r="AL31" s="719">
        <f>SUM(AL13:AL29)</f>
        <v>1000</v>
      </c>
      <c r="AM31" s="720">
        <f>AL31/'État des Résultats'!AL14</f>
        <v>2.1755125181165801E-2</v>
      </c>
      <c r="AN31" s="214"/>
      <c r="AO31" s="214"/>
      <c r="AP31" s="719">
        <f>SUM(AP13:AP29)</f>
        <v>12000</v>
      </c>
      <c r="AQ31" s="720">
        <f>AP31/'État des Résultats'!AP14</f>
        <v>2.1227295914475225E-2</v>
      </c>
      <c r="AR31" s="214"/>
      <c r="AS31" s="214"/>
      <c r="AT31" s="214"/>
      <c r="AU31" s="252"/>
    </row>
    <row r="32" spans="2:47" ht="14" thickTop="1" x14ac:dyDescent="0.15">
      <c r="L32" s="316"/>
      <c r="O32" s="316"/>
      <c r="R32" s="316"/>
      <c r="U32" s="316"/>
      <c r="X32" s="316"/>
      <c r="AA32" s="316"/>
      <c r="AD32" s="316"/>
      <c r="AG32" s="316"/>
      <c r="AJ32" s="316"/>
      <c r="AM32" s="316"/>
      <c r="AQ32" s="316"/>
    </row>
    <row r="33" spans="3:69" x14ac:dyDescent="0.15">
      <c r="R33" s="316"/>
      <c r="U33" s="316"/>
      <c r="X33" s="316"/>
      <c r="AD33" s="316"/>
      <c r="AG33" s="316"/>
      <c r="AJ33" s="316"/>
      <c r="AM33" s="316"/>
    </row>
    <row r="34" spans="3:69" x14ac:dyDescent="0.15">
      <c r="U34" s="316"/>
      <c r="AG34" s="316"/>
      <c r="AJ34" s="316"/>
      <c r="AM34" s="316"/>
    </row>
    <row r="35" spans="3:69" x14ac:dyDescent="0.15">
      <c r="C35" s="161" t="s">
        <v>2</v>
      </c>
      <c r="E35" s="161" t="s">
        <v>2</v>
      </c>
      <c r="G35" s="161" t="s">
        <v>2</v>
      </c>
      <c r="H35" s="161" t="s">
        <v>2</v>
      </c>
      <c r="U35" s="316"/>
      <c r="AG35" s="316"/>
      <c r="AJ35" s="316"/>
      <c r="AM35" s="316"/>
    </row>
    <row r="36" spans="3:69" x14ac:dyDescent="0.15">
      <c r="H36" s="161" t="s">
        <v>2</v>
      </c>
      <c r="AG36" s="316"/>
      <c r="AJ36" s="316"/>
      <c r="AM36" s="316"/>
    </row>
    <row r="37" spans="3:69" x14ac:dyDescent="0.15">
      <c r="H37" s="161" t="s">
        <v>2</v>
      </c>
      <c r="AM37" s="316"/>
    </row>
    <row r="38" spans="3:69" x14ac:dyDescent="0.15">
      <c r="H38" s="161" t="s">
        <v>2</v>
      </c>
      <c r="BB38" s="170"/>
      <c r="BC38" s="170"/>
      <c r="BD38" s="170"/>
      <c r="BE38" s="170"/>
      <c r="BF38" s="170"/>
      <c r="BG38" s="170"/>
      <c r="BH38" s="170"/>
      <c r="BI38" s="170"/>
      <c r="BJ38" s="170"/>
      <c r="BK38" s="170"/>
      <c r="BL38" s="170"/>
      <c r="BM38" s="170"/>
      <c r="BN38" s="170"/>
      <c r="BO38" s="170"/>
      <c r="BP38" s="170"/>
      <c r="BQ38" s="170"/>
    </row>
    <row r="39" spans="3:69" x14ac:dyDescent="0.15">
      <c r="H39" s="161" t="s">
        <v>2</v>
      </c>
    </row>
    <row r="40" spans="3:69" x14ac:dyDescent="0.15">
      <c r="H40" s="161" t="s">
        <v>2</v>
      </c>
    </row>
    <row r="50" spans="8:8" x14ac:dyDescent="0.15">
      <c r="H50" s="722"/>
    </row>
  </sheetData>
  <sheetProtection algorithmName="SHA-512" hashValue="AtKqtKqNX8y1Fg1rQYy5iEU/dMsxg1mO4THq0eZhp/QC92s/RPJWV6DejcVraSfrAOniHL3BDqMUy8P7rK0/tA==" saltValue="wGJuXRSVXZ0BDETMsJa3lg==" spinCount="100000" sheet="1" objects="1" scenarios="1"/>
  <mergeCells count="9">
    <mergeCell ref="BC2:BC8"/>
    <mergeCell ref="B6:C6"/>
    <mergeCell ref="B7:C7"/>
    <mergeCell ref="B8:C8"/>
    <mergeCell ref="B9:C9"/>
    <mergeCell ref="B2:C2"/>
    <mergeCell ref="B3:C3"/>
    <mergeCell ref="B4:C4"/>
    <mergeCell ref="AS2:AS8"/>
  </mergeCells>
  <hyperlinks>
    <hyperlink ref="C11" r:id="rId1" xr:uid="{3E33FB46-F15F-5C4C-B802-59F0EF5C2F99}"/>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6988-0F07-0049-BB2C-F5316A9FB195}">
  <sheetPr>
    <tabColor theme="1"/>
    <pageSetUpPr fitToPage="1"/>
  </sheetPr>
  <dimension ref="B1:BQ43"/>
  <sheetViews>
    <sheetView zoomScale="108" zoomScaleNormal="108" zoomScalePageLayoutView="125" workbookViewId="0">
      <selection activeCell="A31" sqref="A31"/>
    </sheetView>
  </sheetViews>
  <sheetFormatPr baseColWidth="10" defaultRowHeight="13" x14ac:dyDescent="0.15"/>
  <cols>
    <col min="1" max="1" width="2.1640625" style="161" customWidth="1"/>
    <col min="2" max="2" width="5.1640625" style="161" customWidth="1"/>
    <col min="3" max="3" width="45.16406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6640625" style="161" customWidth="1"/>
    <col min="45" max="45" width="8.5" style="161" bestFit="1" customWidth="1"/>
    <col min="46" max="46" width="14.5" style="161" bestFit="1" customWidth="1"/>
    <col min="47" max="47" width="2.6640625" style="161" bestFit="1" customWidth="1"/>
    <col min="48" max="48" width="26.83203125" style="161" bestFit="1" customWidth="1"/>
    <col min="49" max="49" width="2.6640625" style="161" bestFit="1" customWidth="1"/>
    <col min="50" max="50" width="2.1640625" style="161" bestFit="1" customWidth="1"/>
    <col min="51" max="51" width="10.83203125" style="161"/>
    <col min="52" max="52" width="2.6640625" style="161" bestFit="1" customWidth="1"/>
    <col min="53" max="53" width="10.83203125" style="161"/>
    <col min="54" max="54" width="2.1640625" style="161" bestFit="1" customWidth="1"/>
    <col min="55" max="55" width="8.5" style="161" bestFit="1" customWidth="1"/>
    <col min="56" max="16384" width="10.83203125" style="161"/>
  </cols>
  <sheetData>
    <row r="1" spans="2:56" ht="14" thickBot="1" x14ac:dyDescent="0.2"/>
    <row r="2" spans="2:56" ht="17" thickTop="1" x14ac:dyDescent="0.2">
      <c r="B2" s="940" t="str">
        <f>'État des Résultats'!C2</f>
        <v xml:space="preserve">Entreprise de restauration alimentaire 12 inc. </v>
      </c>
      <c r="C2" s="941"/>
      <c r="AS2" s="898" t="s">
        <v>42</v>
      </c>
      <c r="AT2" s="369"/>
      <c r="AU2" s="369"/>
      <c r="AV2" s="369"/>
      <c r="AW2" s="369"/>
      <c r="AX2" s="369"/>
      <c r="AY2" s="369"/>
      <c r="AZ2" s="369"/>
      <c r="BA2" s="369"/>
      <c r="BB2" s="369"/>
      <c r="BC2" s="901" t="s">
        <v>43</v>
      </c>
    </row>
    <row r="3" spans="2:56" ht="16" x14ac:dyDescent="0.2">
      <c r="B3" s="942" t="str">
        <f>'État des Résultats'!C3</f>
        <v xml:space="preserve">États des résultats prévisionnels </v>
      </c>
      <c r="C3" s="943"/>
      <c r="AS3" s="899"/>
      <c r="AT3" s="370"/>
      <c r="AU3" s="370"/>
      <c r="AV3" s="370"/>
      <c r="AW3" s="370"/>
      <c r="AX3" s="370"/>
      <c r="AY3" s="370"/>
      <c r="AZ3" s="370"/>
      <c r="BA3" s="370"/>
      <c r="BB3" s="370"/>
      <c r="BC3" s="902"/>
    </row>
    <row r="4" spans="2:56" ht="22" thickBot="1" x14ac:dyDescent="0.3">
      <c r="B4" s="944" t="str">
        <f>'État des Résultats'!C4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16" t="str">
        <f>'Coût marchandises vendues'!B6</f>
        <v>Nb de places</v>
      </c>
      <c r="C6" s="958"/>
      <c r="E6" s="693" t="str">
        <f>'Coût marchandises vendues'!D6</f>
        <v>Coût / place / jour</v>
      </c>
      <c r="F6" s="694">
        <f>+E24/$B$7/'Calendrier 2021'!D8</f>
        <v>0</v>
      </c>
      <c r="G6" s="170"/>
      <c r="H6" s="693" t="str">
        <f>+E6</f>
        <v>Coût / place / jour</v>
      </c>
      <c r="I6" s="694">
        <f>+H24/$B$7/'Calendrier 2021'!E8</f>
        <v>0</v>
      </c>
      <c r="J6" s="170"/>
      <c r="K6" s="693" t="str">
        <f>+H6</f>
        <v>Coût / place / jour</v>
      </c>
      <c r="L6" s="694">
        <f>+K24/$B$7/'Calendrier 2021'!F8</f>
        <v>0</v>
      </c>
      <c r="M6" s="170"/>
      <c r="N6" s="693" t="str">
        <f>+K6</f>
        <v>Coût / place / jour</v>
      </c>
      <c r="O6" s="694">
        <f>+N24/$B$7/'Calendrier 2021'!G8</f>
        <v>0</v>
      </c>
      <c r="P6" s="436"/>
      <c r="Q6" s="693" t="str">
        <f>+N6</f>
        <v>Coût / place / jour</v>
      </c>
      <c r="R6" s="694">
        <f>+Q24/$B$7/'Calendrier 2021'!H8</f>
        <v>0</v>
      </c>
      <c r="S6" s="436"/>
      <c r="T6" s="693" t="str">
        <f>+Q6</f>
        <v>Coût / place / jour</v>
      </c>
      <c r="U6" s="694">
        <f>+T24/$B$7/'Calendrier 2021'!I8</f>
        <v>0</v>
      </c>
      <c r="V6" s="170"/>
      <c r="W6" s="693" t="str">
        <f>+T6</f>
        <v>Coût / place / jour</v>
      </c>
      <c r="X6" s="694">
        <f>+W24/$B$7/'Calendrier 2021'!J8</f>
        <v>0</v>
      </c>
      <c r="Y6" s="170"/>
      <c r="Z6" s="693" t="str">
        <f>+W6</f>
        <v>Coût / place / jour</v>
      </c>
      <c r="AA6" s="694">
        <f>+Z24/$B$7/'Calendrier 2021'!K8</f>
        <v>0</v>
      </c>
      <c r="AB6" s="170"/>
      <c r="AC6" s="693" t="str">
        <f>+Z6</f>
        <v>Coût / place / jour</v>
      </c>
      <c r="AD6" s="694">
        <f>+AC24/$B$7/'Calendrier 2021'!L8</f>
        <v>0</v>
      </c>
      <c r="AE6" s="170"/>
      <c r="AF6" s="693" t="str">
        <f>+AC6</f>
        <v>Coût / place / jour</v>
      </c>
      <c r="AG6" s="694">
        <f>+AF24/$B$7/'Calendrier 2021'!M8</f>
        <v>0</v>
      </c>
      <c r="AH6" s="170"/>
      <c r="AI6" s="693" t="str">
        <f>+AF6</f>
        <v>Coût / place / jour</v>
      </c>
      <c r="AJ6" s="694">
        <f>+AI24/$B$7/'Calendrier 2021'!N8</f>
        <v>6.0000000000000001E-3</v>
      </c>
      <c r="AK6" s="170"/>
      <c r="AL6" s="693" t="str">
        <f>+AI6</f>
        <v>Coût / place / jour</v>
      </c>
      <c r="AM6" s="694">
        <f>+AL24/$B$7/'Calendrier 2021'!O8</f>
        <v>0</v>
      </c>
      <c r="AN6" s="170"/>
      <c r="AO6" s="170"/>
      <c r="AP6" s="695" t="str">
        <f>+AL6</f>
        <v>Coût / place / jour</v>
      </c>
      <c r="AQ6" s="696">
        <f>+AP24/$B$7/'% Occupation'!P9</f>
        <v>4.9315068493150684E-4</v>
      </c>
      <c r="AS6" s="899"/>
      <c r="AT6" s="374"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48">
        <f>'Coût marchandises vendues'!B7</f>
        <v>50</v>
      </c>
      <c r="C7" s="947"/>
      <c r="E7" s="438">
        <f>+E24/$AP24</f>
        <v>0</v>
      </c>
      <c r="F7" s="697"/>
      <c r="H7" s="438">
        <f>+H24/$AP24</f>
        <v>0</v>
      </c>
      <c r="I7" s="697"/>
      <c r="K7" s="438">
        <f>+K24/$AP24</f>
        <v>0</v>
      </c>
      <c r="L7" s="439"/>
      <c r="N7" s="438">
        <f>+N24/$AP24</f>
        <v>0</v>
      </c>
      <c r="O7" s="439"/>
      <c r="P7" s="698"/>
      <c r="Q7" s="438">
        <f>+Q24/$AP24</f>
        <v>0</v>
      </c>
      <c r="R7" s="439"/>
      <c r="S7" s="698"/>
      <c r="T7" s="438">
        <f>+T24/$AP24</f>
        <v>0</v>
      </c>
      <c r="U7" s="439"/>
      <c r="W7" s="438">
        <f>+W24/$AP24</f>
        <v>0</v>
      </c>
      <c r="X7" s="439"/>
      <c r="Z7" s="438">
        <f>+Z24/$AP24</f>
        <v>0</v>
      </c>
      <c r="AA7" s="439"/>
      <c r="AC7" s="438">
        <f>+AC24/$AP24</f>
        <v>0</v>
      </c>
      <c r="AD7" s="439"/>
      <c r="AF7" s="438">
        <f>+AF24/$AP24</f>
        <v>0</v>
      </c>
      <c r="AG7" s="439"/>
      <c r="AI7" s="438">
        <f>+AI24/$AP24</f>
        <v>1</v>
      </c>
      <c r="AJ7" s="439"/>
      <c r="AL7" s="438">
        <f>+AL24/$AP24</f>
        <v>0</v>
      </c>
      <c r="AM7" s="439"/>
      <c r="AP7" s="699">
        <f>+AP24/$AP24</f>
        <v>1</v>
      </c>
      <c r="AQ7" s="959" t="s">
        <v>137</v>
      </c>
      <c r="AS7" s="899"/>
      <c r="AT7" s="684">
        <f>AP24</f>
        <v>9</v>
      </c>
      <c r="AU7" s="371" t="s">
        <v>44</v>
      </c>
      <c r="AV7" s="685">
        <f>'Formule pour le calcul D'!G106</f>
        <v>22875</v>
      </c>
      <c r="AW7" s="371" t="s">
        <v>45</v>
      </c>
      <c r="AX7" s="371" t="s">
        <v>46</v>
      </c>
      <c r="AY7" s="686">
        <f>'Formule pour le calcul D'!J106</f>
        <v>2.2200000000000002</v>
      </c>
      <c r="AZ7" s="371" t="s">
        <v>45</v>
      </c>
      <c r="BA7" s="687">
        <f>AT7/AV7/AY7</f>
        <v>1.7722640673460344E-4</v>
      </c>
      <c r="BB7" s="371" t="s">
        <v>49</v>
      </c>
      <c r="BC7" s="902"/>
    </row>
    <row r="8" spans="2:56" ht="17" thickBot="1" x14ac:dyDescent="0.25">
      <c r="B8" s="920" t="s">
        <v>338</v>
      </c>
      <c r="C8" s="947"/>
      <c r="E8" s="702" t="str">
        <f>'Calendrier 2021'!D5</f>
        <v>Pér.01</v>
      </c>
      <c r="F8" s="701" t="str">
        <f>'État des Résultats'!F8</f>
        <v>(%)</v>
      </c>
      <c r="G8" s="385"/>
      <c r="H8" s="702" t="str">
        <f>'Calendrier 2021'!E5</f>
        <v>Pér.02</v>
      </c>
      <c r="I8" s="701" t="str">
        <f>F8</f>
        <v>(%)</v>
      </c>
      <c r="J8" s="385"/>
      <c r="K8" s="702" t="str">
        <f>'Calendrier 2021'!F5</f>
        <v>Pér.03</v>
      </c>
      <c r="L8" s="701" t="str">
        <f>I8</f>
        <v>(%)</v>
      </c>
      <c r="M8" s="385"/>
      <c r="N8" s="702" t="str">
        <f>'Calendrier 2021'!G5</f>
        <v>Pér.04</v>
      </c>
      <c r="O8" s="701" t="str">
        <f>L8</f>
        <v>(%)</v>
      </c>
      <c r="P8" s="440"/>
      <c r="Q8" s="702" t="str">
        <f>'Calendrier 2021'!H5</f>
        <v>Pér.05</v>
      </c>
      <c r="R8" s="701" t="str">
        <f>O8</f>
        <v>(%)</v>
      </c>
      <c r="S8" s="440"/>
      <c r="T8" s="702" t="str">
        <f>'Calendrier 2021'!I5</f>
        <v>Pér.06</v>
      </c>
      <c r="U8" s="701" t="str">
        <f>R8</f>
        <v>(%)</v>
      </c>
      <c r="V8" s="385"/>
      <c r="W8" s="702" t="str">
        <f>'Calendrier 2021'!J5</f>
        <v>Pér.07</v>
      </c>
      <c r="X8" s="701" t="str">
        <f>U8</f>
        <v>(%)</v>
      </c>
      <c r="Y8" s="385"/>
      <c r="Z8" s="702" t="str">
        <f>'Calendrier 2021'!K5</f>
        <v>Pér.08</v>
      </c>
      <c r="AA8" s="701" t="str">
        <f>X8</f>
        <v>(%)</v>
      </c>
      <c r="AB8" s="385"/>
      <c r="AC8" s="702" t="str">
        <f>'Calendrier 2021'!L5</f>
        <v>Pér.09</v>
      </c>
      <c r="AD8" s="701" t="str">
        <f>AA8</f>
        <v>(%)</v>
      </c>
      <c r="AE8" s="385"/>
      <c r="AF8" s="702" t="str">
        <f>'Calendrier 2021'!M5</f>
        <v>Pér.10</v>
      </c>
      <c r="AG8" s="701" t="str">
        <f>AD8</f>
        <v>(%)</v>
      </c>
      <c r="AH8" s="385"/>
      <c r="AI8" s="702" t="str">
        <f>'Calendrier 2021'!N5</f>
        <v>Pér.11</v>
      </c>
      <c r="AJ8" s="701" t="str">
        <f>AG8</f>
        <v>(%)</v>
      </c>
      <c r="AK8" s="385"/>
      <c r="AL8" s="702" t="str">
        <f>'Calendrier 2021'!O5</f>
        <v>Pér.12</v>
      </c>
      <c r="AM8" s="701" t="str">
        <f>AJ8</f>
        <v>(%)</v>
      </c>
      <c r="AN8" s="703" t="s">
        <v>2</v>
      </c>
      <c r="AO8" s="385"/>
      <c r="AP8" s="704" t="str">
        <f>'État des Résultats'!AP8</f>
        <v>Total</v>
      </c>
      <c r="AQ8" s="701" t="str">
        <f>AM8</f>
        <v>(%)</v>
      </c>
      <c r="AS8" s="900"/>
      <c r="AT8" s="376"/>
      <c r="AU8" s="376"/>
      <c r="AV8" s="376"/>
      <c r="AW8" s="376"/>
      <c r="AX8" s="376"/>
      <c r="AY8" s="376"/>
      <c r="AZ8" s="376"/>
      <c r="BA8" s="376"/>
      <c r="BB8" s="376"/>
      <c r="BC8" s="903"/>
    </row>
    <row r="9" spans="2:56" ht="15" thickTop="1" thickBot="1" x14ac:dyDescent="0.2">
      <c r="B9" s="956">
        <f>AP24/$B$7</f>
        <v>0.18</v>
      </c>
      <c r="C9" s="957"/>
      <c r="E9" s="723" t="str">
        <f>'Calendrier 2021'!D6</f>
        <v>Janvier 2021</v>
      </c>
      <c r="F9" s="724"/>
      <c r="G9" s="294"/>
      <c r="H9" s="725" t="str">
        <f>'Calendrier 2021'!E6</f>
        <v>Février 2021</v>
      </c>
      <c r="I9" s="726"/>
      <c r="J9" s="294"/>
      <c r="K9" s="725" t="str">
        <f>'Calendrier 2021'!F6</f>
        <v>Mars 2021</v>
      </c>
      <c r="L9" s="726"/>
      <c r="M9" s="294"/>
      <c r="N9" s="723" t="str">
        <f>'Calendrier 2021'!G6</f>
        <v>Avril 2021</v>
      </c>
      <c r="O9" s="724"/>
      <c r="P9" s="727"/>
      <c r="Q9" s="723" t="str">
        <f>'Calendrier 2021'!H6</f>
        <v>Mai 2021</v>
      </c>
      <c r="R9" s="724"/>
      <c r="S9" s="727"/>
      <c r="T9" s="725" t="str">
        <f>'Calendrier 2021'!I6</f>
        <v>Juin 2021</v>
      </c>
      <c r="U9" s="726"/>
      <c r="V9" s="294"/>
      <c r="W9" s="725" t="str">
        <f>'Calendrier 2021'!J6</f>
        <v>Juillet 2021</v>
      </c>
      <c r="X9" s="726"/>
      <c r="Y9" s="294"/>
      <c r="Z9" s="725" t="str">
        <f>'Calendrier 2021'!K6</f>
        <v>Août 2021</v>
      </c>
      <c r="AA9" s="726"/>
      <c r="AB9" s="294"/>
      <c r="AC9" s="725" t="str">
        <f>'Calendrier 2021'!L6</f>
        <v>Septembre 2021</v>
      </c>
      <c r="AD9" s="726"/>
      <c r="AE9" s="294"/>
      <c r="AF9" s="725" t="str">
        <f>'Calendrier 2021'!M6</f>
        <v>Octobre 2021</v>
      </c>
      <c r="AG9" s="726"/>
      <c r="AH9" s="294"/>
      <c r="AI9" s="725" t="str">
        <f>'Calendrier 2021'!N6</f>
        <v>Novembre 2021</v>
      </c>
      <c r="AJ9" s="726"/>
      <c r="AK9" s="294"/>
      <c r="AL9" s="725" t="str">
        <f>'Calendrier 2021'!O6</f>
        <v>Décembre 2021</v>
      </c>
      <c r="AM9" s="726"/>
      <c r="AN9" s="294"/>
      <c r="AO9" s="294"/>
      <c r="AP9" s="728" t="str">
        <f>'État des Résultats'!AP9</f>
        <v>Année</v>
      </c>
      <c r="AQ9" s="729"/>
      <c r="AR9" s="730"/>
      <c r="AS9" s="730"/>
      <c r="AT9" s="331"/>
      <c r="AU9" s="331"/>
      <c r="AV9" s="331"/>
      <c r="AW9" s="331"/>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4" thickTop="1" x14ac:dyDescent="0.15">
      <c r="B11" s="706"/>
      <c r="C11" s="776" t="s">
        <v>374</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66">
        <v>8110</v>
      </c>
      <c r="C13" s="767" t="s">
        <v>375</v>
      </c>
      <c r="E13" s="710">
        <v>0</v>
      </c>
      <c r="F13" s="711">
        <f>E13/'État des Résultats'!E$14</f>
        <v>0</v>
      </c>
      <c r="H13" s="710">
        <v>0</v>
      </c>
      <c r="I13" s="711">
        <f>H13/'État des Résultats'!H$14</f>
        <v>0</v>
      </c>
      <c r="K13" s="710">
        <v>0</v>
      </c>
      <c r="L13" s="711">
        <f>K13/'État des Résultats'!K$14</f>
        <v>0</v>
      </c>
      <c r="N13" s="710">
        <v>0</v>
      </c>
      <c r="O13" s="711">
        <f>N13/'État des Résultats'!N$14</f>
        <v>0</v>
      </c>
      <c r="Q13" s="710">
        <v>0</v>
      </c>
      <c r="R13" s="711">
        <f>Q13/'État des Résultats'!Q$14</f>
        <v>0</v>
      </c>
      <c r="T13" s="710">
        <v>0</v>
      </c>
      <c r="U13" s="711">
        <f>T13/'État des Résultats'!T$14</f>
        <v>0</v>
      </c>
      <c r="W13" s="710">
        <v>0</v>
      </c>
      <c r="X13" s="711">
        <f>W13/'État des Résultats'!W$14</f>
        <v>0</v>
      </c>
      <c r="Z13" s="710">
        <v>0</v>
      </c>
      <c r="AA13" s="711">
        <f>Z13/'État des Résultats'!Z$14</f>
        <v>0</v>
      </c>
      <c r="AC13" s="710">
        <v>0</v>
      </c>
      <c r="AD13" s="711">
        <f>AC13/'État des Résultats'!AC$14</f>
        <v>0</v>
      </c>
      <c r="AF13" s="710">
        <v>0</v>
      </c>
      <c r="AG13" s="711">
        <f>AF13/'État des Résultats'!AF$14</f>
        <v>0</v>
      </c>
      <c r="AI13" s="710">
        <v>0</v>
      </c>
      <c r="AJ13" s="711">
        <f>AI13/'État des Résultats'!AI$14</f>
        <v>0</v>
      </c>
      <c r="AL13" s="710">
        <v>0</v>
      </c>
      <c r="AM13" s="711">
        <f>AL13/'État des Résultats'!AL$14</f>
        <v>0</v>
      </c>
      <c r="AP13" s="712">
        <f>SUM(+$AL13+$AI13+$AF13+$AC13+$Z13+$W13+$T13+$Q13+$N13+$K13+$H13+$E13)</f>
        <v>0</v>
      </c>
      <c r="AQ13" s="713">
        <f>AP13/'État des Résultats'!AP$14</f>
        <v>0</v>
      </c>
    </row>
    <row r="14" spans="2:56" x14ac:dyDescent="0.15">
      <c r="B14" s="766">
        <v>8120</v>
      </c>
      <c r="C14" s="767" t="s">
        <v>377</v>
      </c>
      <c r="E14" s="710">
        <v>0</v>
      </c>
      <c r="F14" s="711">
        <f>E14/'État des Résultats'!E$14</f>
        <v>0</v>
      </c>
      <c r="H14" s="710">
        <v>0</v>
      </c>
      <c r="I14" s="711">
        <f>H14/'État des Résultats'!H$14</f>
        <v>0</v>
      </c>
      <c r="K14" s="710">
        <v>0</v>
      </c>
      <c r="L14" s="711">
        <f>K14/'État des Résultats'!K$14</f>
        <v>0</v>
      </c>
      <c r="N14" s="710">
        <v>0</v>
      </c>
      <c r="O14" s="711">
        <f>N14/'État des Résultats'!N$14</f>
        <v>0</v>
      </c>
      <c r="Q14" s="710">
        <v>0</v>
      </c>
      <c r="R14" s="711">
        <f>Q14/'État des Résultats'!Q$14</f>
        <v>0</v>
      </c>
      <c r="T14" s="710">
        <v>0</v>
      </c>
      <c r="U14" s="711">
        <f>T14/'État des Résultats'!T$14</f>
        <v>0</v>
      </c>
      <c r="W14" s="710">
        <v>0</v>
      </c>
      <c r="X14" s="711">
        <f>W14/'État des Résultats'!W$14</f>
        <v>0</v>
      </c>
      <c r="Z14" s="710">
        <v>0</v>
      </c>
      <c r="AA14" s="711">
        <f>Z14/'État des Résultats'!Z$14</f>
        <v>0</v>
      </c>
      <c r="AC14" s="710">
        <v>0</v>
      </c>
      <c r="AD14" s="711">
        <f>AC14/'État des Résultats'!AC$14</f>
        <v>0</v>
      </c>
      <c r="AF14" s="710">
        <v>0</v>
      </c>
      <c r="AG14" s="711">
        <f>AF14/'État des Résultats'!AF$14</f>
        <v>0</v>
      </c>
      <c r="AI14" s="710">
        <v>1</v>
      </c>
      <c r="AJ14" s="711">
        <f>AI14/'État des Résultats'!AI$14</f>
        <v>2.6976355224645597E-5</v>
      </c>
      <c r="AL14" s="710">
        <v>0</v>
      </c>
      <c r="AM14" s="711">
        <f>AL14/'État des Résultats'!AL$14</f>
        <v>0</v>
      </c>
      <c r="AP14" s="712">
        <f>SUM(+$AL14+$AI14+$AF14+$AC14+$Z14+$W14+$T14+$Q14+$N14+$K14+$H14+$E14)</f>
        <v>1</v>
      </c>
      <c r="AQ14" s="713">
        <f>AP14/'État des Résultats'!AP$14</f>
        <v>1.7689413262062687E-6</v>
      </c>
    </row>
    <row r="15" spans="2:56" x14ac:dyDescent="0.15">
      <c r="B15" s="768">
        <v>8130</v>
      </c>
      <c r="C15" s="767" t="s">
        <v>378</v>
      </c>
      <c r="E15" s="710">
        <v>0</v>
      </c>
      <c r="F15" s="711">
        <f>E15/'État des Résultats'!E$14</f>
        <v>0</v>
      </c>
      <c r="H15" s="710">
        <v>0</v>
      </c>
      <c r="I15" s="711">
        <f>H15/'État des Résultats'!H$14</f>
        <v>0</v>
      </c>
      <c r="K15" s="710">
        <v>0</v>
      </c>
      <c r="L15" s="711">
        <f>K15/'État des Résultats'!K$14</f>
        <v>0</v>
      </c>
      <c r="N15" s="710">
        <v>0</v>
      </c>
      <c r="O15" s="711">
        <f>N15/'État des Résultats'!N$14</f>
        <v>0</v>
      </c>
      <c r="Q15" s="710">
        <v>0</v>
      </c>
      <c r="R15" s="711">
        <f>Q15/'État des Résultats'!Q$14</f>
        <v>0</v>
      </c>
      <c r="T15" s="710">
        <v>0</v>
      </c>
      <c r="U15" s="711">
        <f>T15/'État des Résultats'!T$14</f>
        <v>0</v>
      </c>
      <c r="W15" s="710">
        <v>0</v>
      </c>
      <c r="X15" s="711">
        <f>W15/'État des Résultats'!W$14</f>
        <v>0</v>
      </c>
      <c r="Z15" s="710">
        <v>0</v>
      </c>
      <c r="AA15" s="711">
        <f>Z15/'État des Résultats'!Z$14</f>
        <v>0</v>
      </c>
      <c r="AC15" s="710">
        <v>0</v>
      </c>
      <c r="AD15" s="711">
        <f>AC15/'État des Résultats'!AC$14</f>
        <v>0</v>
      </c>
      <c r="AF15" s="710">
        <v>0</v>
      </c>
      <c r="AG15" s="711">
        <f>AF15/'État des Résultats'!AF$14</f>
        <v>0</v>
      </c>
      <c r="AI15" s="710">
        <v>1</v>
      </c>
      <c r="AJ15" s="711">
        <f>AI15/'État des Résultats'!AI$14</f>
        <v>2.6976355224645597E-5</v>
      </c>
      <c r="AL15" s="710">
        <v>0</v>
      </c>
      <c r="AM15" s="711">
        <f>AL15/'État des Résultats'!AL$14</f>
        <v>0</v>
      </c>
      <c r="AP15" s="712">
        <f>SUM(+$AL15+$AI15+$AF15+$AC15+$Z15+$W15+$T15+$Q15+$N15+$K15+$H15+$E15)</f>
        <v>1</v>
      </c>
      <c r="AQ15" s="713">
        <f>AP15/'État des Résultats'!AP$14</f>
        <v>1.7689413262062687E-6</v>
      </c>
    </row>
    <row r="16" spans="2:56" x14ac:dyDescent="0.15">
      <c r="B16" s="768">
        <v>8140</v>
      </c>
      <c r="C16" s="767" t="s">
        <v>379</v>
      </c>
      <c r="E16" s="710">
        <v>0</v>
      </c>
      <c r="F16" s="711">
        <f>E16/'État des Résultats'!E$14</f>
        <v>0</v>
      </c>
      <c r="G16" s="716" t="s">
        <v>2</v>
      </c>
      <c r="H16" s="710">
        <v>0</v>
      </c>
      <c r="I16" s="711">
        <f>H16/'État des Résultats'!H$14</f>
        <v>0</v>
      </c>
      <c r="K16" s="710">
        <v>0</v>
      </c>
      <c r="L16" s="711">
        <f>K16/'État des Résultats'!K$14</f>
        <v>0</v>
      </c>
      <c r="N16" s="710">
        <v>0</v>
      </c>
      <c r="O16" s="711">
        <f>N16/'État des Résultats'!N$14</f>
        <v>0</v>
      </c>
      <c r="Q16" s="710">
        <v>0</v>
      </c>
      <c r="R16" s="711">
        <f>Q16/'État des Résultats'!Q$14</f>
        <v>0</v>
      </c>
      <c r="T16" s="710">
        <v>0</v>
      </c>
      <c r="U16" s="711">
        <f>T16/'État des Résultats'!T$14</f>
        <v>0</v>
      </c>
      <c r="W16" s="710">
        <v>0</v>
      </c>
      <c r="X16" s="711">
        <f>W16/'État des Résultats'!W$14</f>
        <v>0</v>
      </c>
      <c r="Z16" s="710">
        <v>0</v>
      </c>
      <c r="AA16" s="711">
        <f>Z16/'État des Résultats'!Z$14</f>
        <v>0</v>
      </c>
      <c r="AC16" s="710">
        <v>0</v>
      </c>
      <c r="AD16" s="711">
        <f>AC16/'État des Résultats'!AC$14</f>
        <v>0</v>
      </c>
      <c r="AF16" s="710">
        <v>0</v>
      </c>
      <c r="AG16" s="711">
        <f>AF16/'État des Résultats'!AF$14</f>
        <v>0</v>
      </c>
      <c r="AI16" s="710">
        <v>1</v>
      </c>
      <c r="AJ16" s="711">
        <f>AI16/'État des Résultats'!AI$14</f>
        <v>2.6976355224645597E-5</v>
      </c>
      <c r="AL16" s="710">
        <v>0</v>
      </c>
      <c r="AM16" s="711">
        <f>AL16/'État des Résultats'!AL$14</f>
        <v>0</v>
      </c>
      <c r="AP16" s="712">
        <f t="shared" ref="AP16:AP22" si="0">SUM(+$AL16+$AI16+$AF16+$AC16+$Z16+$W16+$T16+$Q16+$N16+$K16+$H16+$E16)</f>
        <v>1</v>
      </c>
      <c r="AQ16" s="713">
        <f>AP16/'État des Résultats'!AP$14</f>
        <v>1.7689413262062687E-6</v>
      </c>
    </row>
    <row r="17" spans="2:69" x14ac:dyDescent="0.15">
      <c r="B17" s="768">
        <v>8150</v>
      </c>
      <c r="C17" s="767" t="s">
        <v>380</v>
      </c>
      <c r="E17" s="710">
        <v>0</v>
      </c>
      <c r="F17" s="711">
        <f>E17/'État des Résultats'!E$14</f>
        <v>0</v>
      </c>
      <c r="H17" s="710">
        <v>0</v>
      </c>
      <c r="I17" s="711">
        <f>H17/'État des Résultats'!H$14</f>
        <v>0</v>
      </c>
      <c r="K17" s="710">
        <v>0</v>
      </c>
      <c r="L17" s="711">
        <f>K17/'État des Résultats'!K$14</f>
        <v>0</v>
      </c>
      <c r="N17" s="710">
        <v>0</v>
      </c>
      <c r="O17" s="711">
        <f>N17/'État des Résultats'!N$14</f>
        <v>0</v>
      </c>
      <c r="Q17" s="710">
        <v>0</v>
      </c>
      <c r="R17" s="711">
        <f>Q17/'État des Résultats'!Q$14</f>
        <v>0</v>
      </c>
      <c r="T17" s="710">
        <v>0</v>
      </c>
      <c r="U17" s="711">
        <f>T17/'État des Résultats'!T$14</f>
        <v>0</v>
      </c>
      <c r="W17" s="710">
        <v>0</v>
      </c>
      <c r="X17" s="711">
        <f>W17/'État des Résultats'!W$14</f>
        <v>0</v>
      </c>
      <c r="Z17" s="710">
        <v>0</v>
      </c>
      <c r="AA17" s="711">
        <f>Z17/'État des Résultats'!Z$14</f>
        <v>0</v>
      </c>
      <c r="AC17" s="710">
        <v>0</v>
      </c>
      <c r="AD17" s="711">
        <f>AC17/'État des Résultats'!AC$14</f>
        <v>0</v>
      </c>
      <c r="AF17" s="710">
        <v>0</v>
      </c>
      <c r="AG17" s="711">
        <f>AF17/'État des Résultats'!AF$14</f>
        <v>0</v>
      </c>
      <c r="AI17" s="710">
        <v>1</v>
      </c>
      <c r="AJ17" s="711">
        <f>AI17/'État des Résultats'!AI$14</f>
        <v>2.6976355224645597E-5</v>
      </c>
      <c r="AL17" s="710">
        <v>0</v>
      </c>
      <c r="AM17" s="711">
        <f>AL17/'État des Résultats'!AL$14</f>
        <v>0</v>
      </c>
      <c r="AP17" s="712">
        <f t="shared" si="0"/>
        <v>1</v>
      </c>
      <c r="AQ17" s="713">
        <f>AP17/'État des Résultats'!AP$14</f>
        <v>1.7689413262062687E-6</v>
      </c>
    </row>
    <row r="18" spans="2:69" x14ac:dyDescent="0.15">
      <c r="B18" s="768">
        <v>8160</v>
      </c>
      <c r="C18" s="767" t="s">
        <v>381</v>
      </c>
      <c r="E18" s="710">
        <v>0</v>
      </c>
      <c r="F18" s="711">
        <f>E18/'État des Résultats'!E$14</f>
        <v>0</v>
      </c>
      <c r="H18" s="710">
        <v>0</v>
      </c>
      <c r="I18" s="711">
        <f>H18/'État des Résultats'!H$14</f>
        <v>0</v>
      </c>
      <c r="K18" s="710">
        <v>0</v>
      </c>
      <c r="L18" s="711">
        <f>K18/'État des Résultats'!K$14</f>
        <v>0</v>
      </c>
      <c r="N18" s="710">
        <v>0</v>
      </c>
      <c r="O18" s="711">
        <f>N18/'État des Résultats'!N$14</f>
        <v>0</v>
      </c>
      <c r="Q18" s="710">
        <v>0</v>
      </c>
      <c r="R18" s="711">
        <f>Q18/'État des Résultats'!Q$14</f>
        <v>0</v>
      </c>
      <c r="T18" s="710">
        <v>0</v>
      </c>
      <c r="U18" s="711">
        <f>T18/'État des Résultats'!T$14</f>
        <v>0</v>
      </c>
      <c r="W18" s="710">
        <v>0</v>
      </c>
      <c r="X18" s="711">
        <f>W18/'État des Résultats'!W$14</f>
        <v>0</v>
      </c>
      <c r="Z18" s="710">
        <v>0</v>
      </c>
      <c r="AA18" s="711">
        <f>Z18/'État des Résultats'!Z$14</f>
        <v>0</v>
      </c>
      <c r="AC18" s="710">
        <v>0</v>
      </c>
      <c r="AD18" s="711">
        <f>AC18/'État des Résultats'!AC$14</f>
        <v>0</v>
      </c>
      <c r="AF18" s="710">
        <v>0</v>
      </c>
      <c r="AG18" s="711">
        <f>AF18/'État des Résultats'!AF$14</f>
        <v>0</v>
      </c>
      <c r="AI18" s="710">
        <v>1</v>
      </c>
      <c r="AJ18" s="711">
        <f>AI18/'État des Résultats'!AI$14</f>
        <v>2.6976355224645597E-5</v>
      </c>
      <c r="AL18" s="710">
        <v>0</v>
      </c>
      <c r="AM18" s="711">
        <f>AL18/'État des Résultats'!AL$14</f>
        <v>0</v>
      </c>
      <c r="AP18" s="712">
        <f t="shared" si="0"/>
        <v>1</v>
      </c>
      <c r="AQ18" s="713">
        <f>AP18/'État des Résultats'!AP$14</f>
        <v>1.7689413262062687E-6</v>
      </c>
    </row>
    <row r="19" spans="2:69" x14ac:dyDescent="0.15">
      <c r="B19" s="768">
        <v>8170</v>
      </c>
      <c r="C19" s="767" t="s">
        <v>382</v>
      </c>
      <c r="E19" s="710">
        <v>0</v>
      </c>
      <c r="F19" s="711">
        <f>E19/'État des Résultats'!E$14</f>
        <v>0</v>
      </c>
      <c r="H19" s="710">
        <v>0</v>
      </c>
      <c r="I19" s="711">
        <f>H19/'État des Résultats'!H$14</f>
        <v>0</v>
      </c>
      <c r="K19" s="710">
        <v>0</v>
      </c>
      <c r="L19" s="711">
        <f>K19/'État des Résultats'!K$14</f>
        <v>0</v>
      </c>
      <c r="N19" s="710">
        <v>0</v>
      </c>
      <c r="O19" s="711">
        <f>N19/'État des Résultats'!N$14</f>
        <v>0</v>
      </c>
      <c r="Q19" s="710">
        <v>0</v>
      </c>
      <c r="R19" s="711">
        <f>Q19/'État des Résultats'!Q$14</f>
        <v>0</v>
      </c>
      <c r="T19" s="710">
        <v>0</v>
      </c>
      <c r="U19" s="711">
        <f>T19/'État des Résultats'!T$14</f>
        <v>0</v>
      </c>
      <c r="W19" s="710">
        <v>0</v>
      </c>
      <c r="X19" s="711">
        <f>W19/'État des Résultats'!W$14</f>
        <v>0</v>
      </c>
      <c r="Z19" s="710">
        <v>0</v>
      </c>
      <c r="AA19" s="711">
        <f>Z19/'État des Résultats'!Z$14</f>
        <v>0</v>
      </c>
      <c r="AC19" s="710">
        <v>0</v>
      </c>
      <c r="AD19" s="711">
        <f>AC19/'État des Résultats'!AC$14</f>
        <v>0</v>
      </c>
      <c r="AF19" s="710">
        <v>0</v>
      </c>
      <c r="AG19" s="711">
        <f>AF19/'État des Résultats'!AF$14</f>
        <v>0</v>
      </c>
      <c r="AI19" s="710">
        <v>1</v>
      </c>
      <c r="AJ19" s="711">
        <f>AI19/'État des Résultats'!AI$14</f>
        <v>2.6976355224645597E-5</v>
      </c>
      <c r="AL19" s="710">
        <v>0</v>
      </c>
      <c r="AM19" s="711">
        <f>AL19/'État des Résultats'!AL$14</f>
        <v>0</v>
      </c>
      <c r="AP19" s="712">
        <f t="shared" si="0"/>
        <v>1</v>
      </c>
      <c r="AQ19" s="713">
        <f>AP19/'État des Résultats'!AP$14</f>
        <v>1.7689413262062687E-6</v>
      </c>
      <c r="AS19" s="210"/>
    </row>
    <row r="20" spans="2:69" x14ac:dyDescent="0.15">
      <c r="B20" s="768">
        <v>8180</v>
      </c>
      <c r="C20" s="767" t="s">
        <v>383</v>
      </c>
      <c r="E20" s="710">
        <v>0</v>
      </c>
      <c r="F20" s="711">
        <f>E20/'État des Résultats'!E$14</f>
        <v>0</v>
      </c>
      <c r="H20" s="710">
        <v>0</v>
      </c>
      <c r="I20" s="711">
        <f>H20/'État des Résultats'!H$14</f>
        <v>0</v>
      </c>
      <c r="K20" s="710">
        <v>0</v>
      </c>
      <c r="L20" s="711">
        <f>K20/'État des Résultats'!K$14</f>
        <v>0</v>
      </c>
      <c r="N20" s="710">
        <v>0</v>
      </c>
      <c r="O20" s="711">
        <f>N20/'État des Résultats'!N$14</f>
        <v>0</v>
      </c>
      <c r="Q20" s="710">
        <v>0</v>
      </c>
      <c r="R20" s="711">
        <f>Q20/'État des Résultats'!Q$14</f>
        <v>0</v>
      </c>
      <c r="T20" s="710">
        <v>0</v>
      </c>
      <c r="U20" s="711">
        <f>T20/'État des Résultats'!T$14</f>
        <v>0</v>
      </c>
      <c r="W20" s="710">
        <v>0</v>
      </c>
      <c r="X20" s="711">
        <f>W20/'État des Résultats'!W$14</f>
        <v>0</v>
      </c>
      <c r="Z20" s="710">
        <v>0</v>
      </c>
      <c r="AA20" s="711">
        <f>Z20/'État des Résultats'!Z$14</f>
        <v>0</v>
      </c>
      <c r="AC20" s="710">
        <v>0</v>
      </c>
      <c r="AD20" s="711">
        <f>AC20/'État des Résultats'!AC$14</f>
        <v>0</v>
      </c>
      <c r="AF20" s="710">
        <v>0</v>
      </c>
      <c r="AG20" s="711">
        <f>AF20/'État des Résultats'!AF$14</f>
        <v>0</v>
      </c>
      <c r="AI20" s="710">
        <v>1</v>
      </c>
      <c r="AJ20" s="711">
        <f>AI20/'État des Résultats'!AI$14</f>
        <v>2.6976355224645597E-5</v>
      </c>
      <c r="AL20" s="710">
        <v>0</v>
      </c>
      <c r="AM20" s="711">
        <f>AL20/'État des Résultats'!AL$14</f>
        <v>0</v>
      </c>
      <c r="AP20" s="712">
        <f t="shared" si="0"/>
        <v>1</v>
      </c>
      <c r="AQ20" s="713">
        <f>AP20/'État des Résultats'!AP$14</f>
        <v>1.7689413262062687E-6</v>
      </c>
    </row>
    <row r="21" spans="2:69" x14ac:dyDescent="0.15">
      <c r="B21" s="768">
        <v>8190</v>
      </c>
      <c r="C21" s="767" t="s">
        <v>384</v>
      </c>
      <c r="E21" s="710">
        <v>0</v>
      </c>
      <c r="F21" s="711">
        <f>E21/'État des Résultats'!E$14</f>
        <v>0</v>
      </c>
      <c r="H21" s="710">
        <v>0</v>
      </c>
      <c r="I21" s="711">
        <f>H21/'État des Résultats'!H$14</f>
        <v>0</v>
      </c>
      <c r="K21" s="710">
        <v>0</v>
      </c>
      <c r="L21" s="711">
        <f>K21/'État des Résultats'!K$14</f>
        <v>0</v>
      </c>
      <c r="N21" s="710">
        <v>0</v>
      </c>
      <c r="O21" s="711">
        <f>N21/'État des Résultats'!N$14</f>
        <v>0</v>
      </c>
      <c r="Q21" s="710">
        <v>0</v>
      </c>
      <c r="R21" s="711">
        <f>Q21/'État des Résultats'!Q$14</f>
        <v>0</v>
      </c>
      <c r="T21" s="710">
        <v>0</v>
      </c>
      <c r="U21" s="711">
        <f>T21/'État des Résultats'!T$14</f>
        <v>0</v>
      </c>
      <c r="W21" s="710">
        <v>0</v>
      </c>
      <c r="X21" s="711">
        <f>W21/'État des Résultats'!W$14</f>
        <v>0</v>
      </c>
      <c r="Z21" s="710">
        <v>0</v>
      </c>
      <c r="AA21" s="711">
        <f>Z21/'État des Résultats'!Z$14</f>
        <v>0</v>
      </c>
      <c r="AC21" s="710">
        <v>0</v>
      </c>
      <c r="AD21" s="711">
        <f>AC21/'État des Résultats'!AC$14</f>
        <v>0</v>
      </c>
      <c r="AF21" s="710">
        <v>0</v>
      </c>
      <c r="AG21" s="711">
        <f>AF21/'État des Résultats'!AF$14</f>
        <v>0</v>
      </c>
      <c r="AI21" s="710">
        <v>1</v>
      </c>
      <c r="AJ21" s="711">
        <f>AI21/'État des Résultats'!AI$14</f>
        <v>2.6976355224645597E-5</v>
      </c>
      <c r="AL21" s="710">
        <v>0</v>
      </c>
      <c r="AM21" s="711">
        <f>AL21/'État des Résultats'!AL$14</f>
        <v>0</v>
      </c>
      <c r="AP21" s="712">
        <f t="shared" si="0"/>
        <v>1</v>
      </c>
      <c r="AQ21" s="713">
        <f>AP21/'État des Résultats'!AP$14</f>
        <v>1.7689413262062687E-6</v>
      </c>
    </row>
    <row r="22" spans="2:69" x14ac:dyDescent="0.15">
      <c r="B22" s="768">
        <v>8199</v>
      </c>
      <c r="C22" s="767" t="s">
        <v>385</v>
      </c>
      <c r="E22" s="710">
        <v>0</v>
      </c>
      <c r="F22" s="711">
        <f>E22/'État des Résultats'!E$14</f>
        <v>0</v>
      </c>
      <c r="H22" s="710">
        <v>0</v>
      </c>
      <c r="I22" s="711">
        <f>H22/'État des Résultats'!H$14</f>
        <v>0</v>
      </c>
      <c r="K22" s="710">
        <v>0</v>
      </c>
      <c r="L22" s="711">
        <f>K22/'État des Résultats'!K$14</f>
        <v>0</v>
      </c>
      <c r="N22" s="710">
        <v>0</v>
      </c>
      <c r="O22" s="711">
        <f>N22/'État des Résultats'!N$14</f>
        <v>0</v>
      </c>
      <c r="Q22" s="710">
        <v>0</v>
      </c>
      <c r="R22" s="711">
        <f>Q22/'État des Résultats'!Q$14</f>
        <v>0</v>
      </c>
      <c r="T22" s="710">
        <v>0</v>
      </c>
      <c r="U22" s="711">
        <f>T22/'État des Résultats'!T$14</f>
        <v>0</v>
      </c>
      <c r="W22" s="710">
        <v>0</v>
      </c>
      <c r="X22" s="711">
        <f>W22/'État des Résultats'!W$14</f>
        <v>0</v>
      </c>
      <c r="Z22" s="710">
        <v>0</v>
      </c>
      <c r="AA22" s="711">
        <f>Z22/'État des Résultats'!Z$14</f>
        <v>0</v>
      </c>
      <c r="AC22" s="710">
        <v>0</v>
      </c>
      <c r="AD22" s="711">
        <f>AC22/'État des Résultats'!AC$14</f>
        <v>0</v>
      </c>
      <c r="AF22" s="710">
        <v>0</v>
      </c>
      <c r="AG22" s="711">
        <f>AF22/'État des Résultats'!AF$14</f>
        <v>0</v>
      </c>
      <c r="AI22" s="710">
        <v>1</v>
      </c>
      <c r="AJ22" s="711">
        <f>AI22/'État des Résultats'!AI$14</f>
        <v>2.6976355224645597E-5</v>
      </c>
      <c r="AL22" s="710">
        <v>0</v>
      </c>
      <c r="AM22" s="711">
        <f>AL22/'État des Résultats'!AL$14</f>
        <v>0</v>
      </c>
      <c r="AP22" s="712">
        <f t="shared" si="0"/>
        <v>1</v>
      </c>
      <c r="AQ22" s="713">
        <f>AP22/'État des Résultats'!AP$14</f>
        <v>1.7689413262062687E-6</v>
      </c>
    </row>
    <row r="23" spans="2:69" ht="14" thickBot="1" x14ac:dyDescent="0.2">
      <c r="B23" s="770" t="s">
        <v>2</v>
      </c>
      <c r="C23" s="771"/>
      <c r="E23" s="772" t="s">
        <v>2</v>
      </c>
      <c r="F23" s="717" t="s">
        <v>2</v>
      </c>
      <c r="H23" s="772" t="s">
        <v>2</v>
      </c>
      <c r="I23" s="717" t="s">
        <v>2</v>
      </c>
      <c r="K23" s="772" t="s">
        <v>2</v>
      </c>
      <c r="L23" s="717" t="s">
        <v>2</v>
      </c>
      <c r="N23" s="772" t="s">
        <v>2</v>
      </c>
      <c r="O23" s="717" t="s">
        <v>2</v>
      </c>
      <c r="Q23" s="772" t="s">
        <v>2</v>
      </c>
      <c r="R23" s="717" t="s">
        <v>2</v>
      </c>
      <c r="S23" s="773"/>
      <c r="T23" s="772" t="s">
        <v>2</v>
      </c>
      <c r="U23" s="717" t="s">
        <v>2</v>
      </c>
      <c r="W23" s="772" t="s">
        <v>2</v>
      </c>
      <c r="X23" s="717" t="s">
        <v>2</v>
      </c>
      <c r="Z23" s="772" t="s">
        <v>2</v>
      </c>
      <c r="AA23" s="717" t="s">
        <v>2</v>
      </c>
      <c r="AC23" s="772" t="s">
        <v>2</v>
      </c>
      <c r="AD23" s="717" t="s">
        <v>2</v>
      </c>
      <c r="AF23" s="772" t="s">
        <v>2</v>
      </c>
      <c r="AG23" s="717" t="s">
        <v>2</v>
      </c>
      <c r="AI23" s="772" t="s">
        <v>2</v>
      </c>
      <c r="AJ23" s="717" t="s">
        <v>2</v>
      </c>
      <c r="AL23" s="772" t="s">
        <v>2</v>
      </c>
      <c r="AM23" s="717" t="s">
        <v>2</v>
      </c>
      <c r="AP23" s="712" t="s">
        <v>2</v>
      </c>
      <c r="AQ23" s="718" t="s">
        <v>2</v>
      </c>
    </row>
    <row r="24" spans="2:69" ht="15" thickTop="1" thickBot="1" x14ac:dyDescent="0.2">
      <c r="B24" s="499">
        <v>8100</v>
      </c>
      <c r="C24" s="500" t="s">
        <v>376</v>
      </c>
      <c r="D24" s="214"/>
      <c r="E24" s="719">
        <f>SUM(E13:E22)</f>
        <v>0</v>
      </c>
      <c r="F24" s="720">
        <f>E24/'État des Résultats'!E14</f>
        <v>0</v>
      </c>
      <c r="G24" s="214"/>
      <c r="H24" s="719">
        <f>SUM(H13:H22)</f>
        <v>0</v>
      </c>
      <c r="I24" s="720">
        <f>H24/'État des Résultats'!H14</f>
        <v>0</v>
      </c>
      <c r="J24" s="214"/>
      <c r="K24" s="719">
        <f>SUM(K13:K22)</f>
        <v>0</v>
      </c>
      <c r="L24" s="720">
        <f>K24/'État des Résultats'!K14</f>
        <v>0</v>
      </c>
      <c r="M24" s="214"/>
      <c r="N24" s="719">
        <f>SUM(N13:N22)</f>
        <v>0</v>
      </c>
      <c r="O24" s="720">
        <f>N24/'État des Résultats'!N14</f>
        <v>0</v>
      </c>
      <c r="P24" s="214"/>
      <c r="Q24" s="719">
        <f>SUM(Q13:Q22)</f>
        <v>0</v>
      </c>
      <c r="R24" s="720">
        <f>Q24/'État des Résultats'!Q14</f>
        <v>0</v>
      </c>
      <c r="S24" s="214"/>
      <c r="T24" s="719">
        <f>SUM(T13:T22)</f>
        <v>0</v>
      </c>
      <c r="U24" s="720">
        <f>T24/'État des Résultats'!T14</f>
        <v>0</v>
      </c>
      <c r="V24" s="214"/>
      <c r="W24" s="719">
        <f>SUM(W13:W22)</f>
        <v>0</v>
      </c>
      <c r="X24" s="720">
        <f>W24/'État des Résultats'!W14</f>
        <v>0</v>
      </c>
      <c r="Y24" s="214"/>
      <c r="Z24" s="719">
        <f>SUM(Z13:Z22)</f>
        <v>0</v>
      </c>
      <c r="AA24" s="720">
        <f>Z24/'État des Résultats'!Z14</f>
        <v>0</v>
      </c>
      <c r="AB24" s="214"/>
      <c r="AC24" s="719">
        <f>SUM(AC13:AC22)</f>
        <v>0</v>
      </c>
      <c r="AD24" s="720">
        <f>AC24/'État des Résultats'!AC14</f>
        <v>0</v>
      </c>
      <c r="AE24" s="214"/>
      <c r="AF24" s="719">
        <f>SUM(AF13:AF22)</f>
        <v>0</v>
      </c>
      <c r="AG24" s="720">
        <f>AF24/'État des Résultats'!AF14</f>
        <v>0</v>
      </c>
      <c r="AH24" s="214"/>
      <c r="AI24" s="719">
        <f>SUM(AI13:AI22)</f>
        <v>9</v>
      </c>
      <c r="AJ24" s="720">
        <f>AI24/'État des Résultats'!AI14</f>
        <v>2.4278719702181038E-4</v>
      </c>
      <c r="AK24" s="214"/>
      <c r="AL24" s="719">
        <f>SUM(AL13:AL22)</f>
        <v>0</v>
      </c>
      <c r="AM24" s="720">
        <f>AL24/'État des Résultats'!AL14</f>
        <v>0</v>
      </c>
      <c r="AN24" s="214"/>
      <c r="AO24" s="214"/>
      <c r="AP24" s="719">
        <f>SUM(AP13:AP22)</f>
        <v>9</v>
      </c>
      <c r="AQ24" s="720">
        <f>AP24/'État des Résultats'!AP14</f>
        <v>1.5920471935856419E-5</v>
      </c>
      <c r="AR24" s="214"/>
      <c r="AS24" s="214"/>
      <c r="AT24" s="214"/>
      <c r="AU24" s="252"/>
    </row>
    <row r="25" spans="2:69" ht="14" thickTop="1" x14ac:dyDescent="0.15">
      <c r="L25" s="316"/>
      <c r="O25" s="316"/>
      <c r="R25" s="316"/>
      <c r="U25" s="316"/>
      <c r="X25" s="316"/>
      <c r="AA25" s="316"/>
      <c r="AD25" s="316"/>
      <c r="AG25" s="316"/>
      <c r="AJ25" s="316"/>
      <c r="AM25" s="316"/>
      <c r="AQ25" s="316"/>
    </row>
    <row r="26" spans="2:69" x14ac:dyDescent="0.15">
      <c r="R26" s="316"/>
      <c r="U26" s="316"/>
      <c r="X26" s="316"/>
      <c r="AD26" s="316"/>
      <c r="AG26" s="316"/>
      <c r="AJ26" s="316"/>
      <c r="AM26" s="316"/>
    </row>
    <row r="27" spans="2:69" x14ac:dyDescent="0.15">
      <c r="U27" s="316"/>
      <c r="AG27" s="316"/>
      <c r="AJ27" s="316"/>
      <c r="AM27" s="316"/>
    </row>
    <row r="28" spans="2:69" x14ac:dyDescent="0.15">
      <c r="C28" s="161" t="s">
        <v>2</v>
      </c>
      <c r="E28" s="161" t="s">
        <v>2</v>
      </c>
      <c r="G28" s="161" t="s">
        <v>2</v>
      </c>
      <c r="H28" s="161" t="s">
        <v>2</v>
      </c>
      <c r="U28" s="316"/>
      <c r="AG28" s="316"/>
      <c r="AJ28" s="316"/>
      <c r="AM28" s="316"/>
    </row>
    <row r="29" spans="2:69" x14ac:dyDescent="0.15">
      <c r="H29" s="161" t="s">
        <v>2</v>
      </c>
      <c r="AG29" s="316"/>
      <c r="AJ29" s="316"/>
      <c r="AM29" s="316"/>
    </row>
    <row r="30" spans="2:69" x14ac:dyDescent="0.15">
      <c r="H30" s="161" t="s">
        <v>2</v>
      </c>
      <c r="AM30" s="316"/>
    </row>
    <row r="31" spans="2:69" x14ac:dyDescent="0.15">
      <c r="H31" s="161" t="s">
        <v>2</v>
      </c>
      <c r="BB31" s="170"/>
      <c r="BC31" s="170"/>
      <c r="BD31" s="170"/>
      <c r="BE31" s="170"/>
      <c r="BF31" s="170"/>
      <c r="BG31" s="170"/>
      <c r="BH31" s="170"/>
      <c r="BI31" s="170"/>
      <c r="BJ31" s="170"/>
      <c r="BK31" s="170"/>
      <c r="BL31" s="170"/>
      <c r="BM31" s="170"/>
      <c r="BN31" s="170"/>
      <c r="BO31" s="170"/>
      <c r="BP31" s="170"/>
      <c r="BQ31" s="170"/>
    </row>
    <row r="32" spans="2:69" x14ac:dyDescent="0.15">
      <c r="H32" s="161" t="s">
        <v>2</v>
      </c>
    </row>
    <row r="33" spans="8:8" x14ac:dyDescent="0.15">
      <c r="H33" s="161" t="s">
        <v>2</v>
      </c>
    </row>
    <row r="43" spans="8:8" x14ac:dyDescent="0.15">
      <c r="H43" s="722"/>
    </row>
  </sheetData>
  <sheetProtection algorithmName="SHA-512" hashValue="zynleYzi1rJPuz/IJ9G/f93A2htouKMHRdQ05fo48b/vuVDmO9BALqtLW84tv0dEa23M84A389lv0ox9ugxHZw==" saltValue="ibiB9phc1Io9F4PPk3YVhA==" spinCount="100000" sheet="1" objects="1" scenarios="1"/>
  <mergeCells count="9">
    <mergeCell ref="B9:C9"/>
    <mergeCell ref="AS2:AS8"/>
    <mergeCell ref="BC2:BC8"/>
    <mergeCell ref="B2:C2"/>
    <mergeCell ref="B3:C3"/>
    <mergeCell ref="B4:C4"/>
    <mergeCell ref="B6:C6"/>
    <mergeCell ref="B7:C7"/>
    <mergeCell ref="B8:C8"/>
  </mergeCells>
  <pageMargins left="0.75000000000000011" right="0.75000000000000011" top="1" bottom="1" header="0.49" footer="0.49"/>
  <pageSetup scale="63" fitToWidth="2" orientation="landscape" horizontalDpi="4294967292" verticalDpi="4294967292"/>
  <headerFooter>
    <oddFooter>&amp;C&amp;K000000Budget et indicateurs de performace (430-763-Me)</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1"/>
  </sheetPr>
  <dimension ref="B1:S470"/>
  <sheetViews>
    <sheetView zoomScale="125" zoomScaleNormal="125" zoomScalePageLayoutView="125" workbookViewId="0">
      <pane xSplit="3" ySplit="8" topLeftCell="D340" activePane="bottomRight" state="frozen"/>
      <selection pane="topRight" activeCell="D1" sqref="D1"/>
      <selection pane="bottomLeft" activeCell="A9" sqref="A9"/>
      <selection pane="bottomRight"/>
    </sheetView>
  </sheetViews>
  <sheetFormatPr baseColWidth="10" defaultRowHeight="13" x14ac:dyDescent="0.15"/>
  <cols>
    <col min="1" max="1" width="1.5" customWidth="1"/>
    <col min="2" max="2" width="2.1640625" customWidth="1"/>
    <col min="3" max="3" width="12.5" customWidth="1"/>
    <col min="4" max="4" width="12.33203125" bestFit="1" customWidth="1"/>
    <col min="5" max="5" width="16.33203125" bestFit="1" customWidth="1"/>
    <col min="6" max="6" width="14" bestFit="1" customWidth="1"/>
    <col min="7" max="8" width="15.83203125" bestFit="1" customWidth="1"/>
    <col min="9" max="9" width="13.33203125" bestFit="1" customWidth="1"/>
    <col min="10" max="10" width="13" bestFit="1" customWidth="1"/>
    <col min="11" max="11" width="12.1640625" bestFit="1" customWidth="1"/>
    <col min="12" max="12" width="14.1640625" bestFit="1" customWidth="1"/>
    <col min="13" max="13" width="11.1640625" bestFit="1" customWidth="1"/>
    <col min="14" max="14" width="13.1640625" bestFit="1" customWidth="1"/>
    <col min="15" max="15" width="12.33203125" bestFit="1" customWidth="1"/>
    <col min="16" max="16" width="11.6640625" bestFit="1" customWidth="1"/>
    <col min="19" max="19" width="12.5" bestFit="1" customWidth="1"/>
    <col min="21" max="22" width="12.33203125" bestFit="1" customWidth="1"/>
  </cols>
  <sheetData>
    <row r="1" spans="2:17" ht="14" thickBot="1" x14ac:dyDescent="0.2"/>
    <row r="2" spans="2:17" ht="32" customHeight="1" thickTop="1" x14ac:dyDescent="0.2">
      <c r="B2" s="803" t="str">
        <f>'État des Résultats'!C2</f>
        <v xml:space="preserve">Entreprise de restauration alimentaire 12 inc. </v>
      </c>
      <c r="C2" s="804"/>
      <c r="D2" s="804"/>
      <c r="E2" s="804"/>
      <c r="F2" s="804"/>
      <c r="G2" s="804"/>
      <c r="H2" s="804"/>
      <c r="I2" s="804"/>
      <c r="J2" s="804"/>
      <c r="K2" s="804"/>
      <c r="L2" s="804"/>
      <c r="M2" s="804"/>
      <c r="N2" s="804"/>
      <c r="O2" s="805"/>
    </row>
    <row r="3" spans="2:17" ht="20" customHeight="1" x14ac:dyDescent="0.2">
      <c r="B3" s="806" t="str">
        <f>'État des Résultats'!C3</f>
        <v xml:space="preserve">États des résultats prévisionnels </v>
      </c>
      <c r="C3" s="807"/>
      <c r="D3" s="807"/>
      <c r="E3" s="807"/>
      <c r="F3" s="807"/>
      <c r="G3" s="807"/>
      <c r="H3" s="807"/>
      <c r="I3" s="807"/>
      <c r="J3" s="807"/>
      <c r="K3" s="807"/>
      <c r="L3" s="807"/>
      <c r="M3" s="807"/>
      <c r="N3" s="807"/>
      <c r="O3" s="808"/>
    </row>
    <row r="4" spans="2:17" ht="13" customHeight="1" thickBot="1" x14ac:dyDescent="0.2">
      <c r="B4" s="809" t="str">
        <f>'État des Résultats'!C4</f>
        <v>Pour la période du 1er janvier 2021 au 31 décembre 2021</v>
      </c>
      <c r="C4" s="810"/>
      <c r="D4" s="810"/>
      <c r="E4" s="810"/>
      <c r="F4" s="810"/>
      <c r="G4" s="810"/>
      <c r="H4" s="810"/>
      <c r="I4" s="810"/>
      <c r="J4" s="810"/>
      <c r="K4" s="810"/>
      <c r="L4" s="810"/>
      <c r="M4" s="810"/>
      <c r="N4" s="810"/>
      <c r="O4" s="811"/>
    </row>
    <row r="5" spans="2:17" ht="14" thickTop="1" x14ac:dyDescent="0.15">
      <c r="B5" s="1"/>
      <c r="C5" s="2"/>
      <c r="D5" s="3" t="str">
        <f>+'Calendrier 2021'!D5</f>
        <v>Pér.01</v>
      </c>
      <c r="E5" s="3" t="str">
        <f>+'Calendrier 2021'!E5</f>
        <v>Pér.02</v>
      </c>
      <c r="F5" s="3" t="str">
        <f>+'Calendrier 2021'!F5</f>
        <v>Pér.03</v>
      </c>
      <c r="G5" s="3" t="str">
        <f>+'Calendrier 2021'!G5</f>
        <v>Pér.04</v>
      </c>
      <c r="H5" s="3" t="str">
        <f>+'Calendrier 2021'!H5</f>
        <v>Pér.05</v>
      </c>
      <c r="I5" s="3" t="str">
        <f>+'Calendrier 2021'!I5</f>
        <v>Pér.06</v>
      </c>
      <c r="J5" s="3" t="str">
        <f>+'Calendrier 2021'!J5</f>
        <v>Pér.07</v>
      </c>
      <c r="K5" s="3" t="str">
        <f>+'Calendrier 2021'!K5</f>
        <v>Pér.08</v>
      </c>
      <c r="L5" s="3" t="str">
        <f>+'Calendrier 2021'!L5</f>
        <v>Pér.09</v>
      </c>
      <c r="M5" s="3" t="str">
        <f>+'Calendrier 2021'!M5</f>
        <v>Pér.10</v>
      </c>
      <c r="N5" s="3" t="str">
        <f>+'Calendrier 2021'!N5</f>
        <v>Pér.11</v>
      </c>
      <c r="O5" s="4" t="str">
        <f>+'Calendrier 2021'!O5</f>
        <v>Pér.12</v>
      </c>
    </row>
    <row r="6" spans="2:17" ht="14" thickBot="1" x14ac:dyDescent="0.2">
      <c r="B6" s="5"/>
      <c r="C6" s="6"/>
      <c r="D6" s="7" t="str">
        <f>+'Calendrier 2021'!D6</f>
        <v>Janvier 2021</v>
      </c>
      <c r="E6" s="7" t="str">
        <f>+'Calendrier 2021'!E6</f>
        <v>Février 2021</v>
      </c>
      <c r="F6" s="7" t="str">
        <f>+'Calendrier 2021'!F6</f>
        <v>Mars 2021</v>
      </c>
      <c r="G6" s="7" t="str">
        <f>+'Calendrier 2021'!G6</f>
        <v>Avril 2021</v>
      </c>
      <c r="H6" s="7" t="str">
        <f>+'Calendrier 2021'!H6</f>
        <v>Mai 2021</v>
      </c>
      <c r="I6" s="7" t="str">
        <f>+'Calendrier 2021'!I6</f>
        <v>Juin 2021</v>
      </c>
      <c r="J6" s="7" t="str">
        <f>+'Calendrier 2021'!J6</f>
        <v>Juillet 2021</v>
      </c>
      <c r="K6" s="7" t="str">
        <f>+'Calendrier 2021'!K6</f>
        <v>Août 2021</v>
      </c>
      <c r="L6" s="7" t="str">
        <f>+'Calendrier 2021'!L6</f>
        <v>Septembre 2021</v>
      </c>
      <c r="M6" s="7" t="str">
        <f>+'Calendrier 2021'!M6</f>
        <v>Octobre 2021</v>
      </c>
      <c r="N6" s="7" t="str">
        <f>+'Calendrier 2021'!N6</f>
        <v>Novembre 2021</v>
      </c>
      <c r="O6" s="7" t="str">
        <f>+'Calendrier 2021'!O6</f>
        <v>Décembre 2021</v>
      </c>
      <c r="P6" s="64"/>
      <c r="Q6" s="64"/>
    </row>
    <row r="7" spans="2:17" ht="15" thickTop="1" thickBot="1" x14ac:dyDescent="0.2">
      <c r="B7" s="812" t="str">
        <f>+'Calendrier 2021'!B7:C7</f>
        <v>NB de place</v>
      </c>
      <c r="C7" s="813"/>
      <c r="D7" s="8">
        <f>+'Calendrier 2021'!D7</f>
        <v>50</v>
      </c>
      <c r="E7" s="8">
        <f t="shared" ref="E7:O7" si="0">+D7</f>
        <v>50</v>
      </c>
      <c r="F7" s="8">
        <f t="shared" si="0"/>
        <v>50</v>
      </c>
      <c r="G7" s="8">
        <f t="shared" si="0"/>
        <v>50</v>
      </c>
      <c r="H7" s="8">
        <f t="shared" si="0"/>
        <v>50</v>
      </c>
      <c r="I7" s="8">
        <f t="shared" si="0"/>
        <v>50</v>
      </c>
      <c r="J7" s="8">
        <f t="shared" si="0"/>
        <v>50</v>
      </c>
      <c r="K7" s="8">
        <f t="shared" si="0"/>
        <v>50</v>
      </c>
      <c r="L7" s="8">
        <f t="shared" si="0"/>
        <v>50</v>
      </c>
      <c r="M7" s="8">
        <f t="shared" si="0"/>
        <v>50</v>
      </c>
      <c r="N7" s="8">
        <f t="shared" si="0"/>
        <v>50</v>
      </c>
      <c r="O7" s="9">
        <f t="shared" si="0"/>
        <v>50</v>
      </c>
    </row>
    <row r="8" spans="2:17" ht="15" thickTop="1" thickBot="1" x14ac:dyDescent="0.2">
      <c r="B8" s="814" t="str">
        <f>+'Calendrier 2021'!B8:C8</f>
        <v>NB de jour</v>
      </c>
      <c r="C8" s="815"/>
      <c r="D8" s="10">
        <f>+'Calendrier 2021'!D8</f>
        <v>31</v>
      </c>
      <c r="E8" s="10">
        <f>+'Calendrier 2021'!E8</f>
        <v>28</v>
      </c>
      <c r="F8" s="10">
        <f>+'Calendrier 2021'!F8</f>
        <v>31</v>
      </c>
      <c r="G8" s="10">
        <f>+'Calendrier 2021'!G8</f>
        <v>30</v>
      </c>
      <c r="H8" s="10">
        <f>+'Calendrier 2021'!H8</f>
        <v>31</v>
      </c>
      <c r="I8" s="10">
        <f>+'Calendrier 2021'!I8</f>
        <v>30</v>
      </c>
      <c r="J8" s="10">
        <f>+'Calendrier 2021'!J8</f>
        <v>31</v>
      </c>
      <c r="K8" s="10">
        <f>+'Calendrier 2021'!K8</f>
        <v>31</v>
      </c>
      <c r="L8" s="10">
        <f>+'Calendrier 2021'!L8</f>
        <v>30</v>
      </c>
      <c r="M8" s="10">
        <f>+'Calendrier 2021'!M8</f>
        <v>31</v>
      </c>
      <c r="N8" s="10">
        <f>+'Calendrier 2021'!N8</f>
        <v>30</v>
      </c>
      <c r="O8" s="10">
        <f>+'Calendrier 2021'!O8</f>
        <v>31</v>
      </c>
    </row>
    <row r="9" spans="2:17" ht="15" thickTop="1" thickBot="1" x14ac:dyDescent="0.2">
      <c r="B9" s="800" t="s">
        <v>0</v>
      </c>
      <c r="C9" s="801"/>
      <c r="D9" s="801"/>
      <c r="E9" s="801"/>
      <c r="F9" s="801"/>
      <c r="G9" s="801"/>
      <c r="H9" s="801"/>
      <c r="I9" s="801"/>
      <c r="J9" s="801"/>
      <c r="K9" s="801"/>
      <c r="L9" s="801"/>
      <c r="M9" s="801"/>
      <c r="N9" s="801"/>
      <c r="O9" s="802"/>
    </row>
    <row r="10" spans="2:17" ht="14" customHeight="1" thickTop="1" thickBot="1" x14ac:dyDescent="0.2">
      <c r="B10" s="128">
        <f>+'Calendrier 2021'!B9</f>
        <v>1</v>
      </c>
      <c r="C10" s="132" t="str">
        <f>+'Calendrier 2021'!C9</f>
        <v>Lundi</v>
      </c>
      <c r="D10" s="130" t="s">
        <v>2</v>
      </c>
      <c r="E10" s="130" t="str">
        <f>'Calendrier 2021'!E9</f>
        <v>1 fev 2021</v>
      </c>
      <c r="F10" s="130">
        <f>'Calendrier 2021'!F9</f>
        <v>44256</v>
      </c>
      <c r="G10" s="130" t="s">
        <v>2</v>
      </c>
      <c r="H10" s="130" t="s">
        <v>2</v>
      </c>
      <c r="I10" s="130" t="s">
        <v>2</v>
      </c>
      <c r="J10" s="130" t="s">
        <v>2</v>
      </c>
      <c r="K10" s="130" t="s">
        <v>2</v>
      </c>
      <c r="L10" s="130" t="s">
        <v>2</v>
      </c>
      <c r="M10" s="130" t="s">
        <v>2</v>
      </c>
      <c r="N10" s="130">
        <f>'Calendrier 2021'!N9</f>
        <v>44501</v>
      </c>
      <c r="O10" s="131" t="s">
        <v>2</v>
      </c>
    </row>
    <row r="11" spans="2:17" ht="14" customHeight="1" thickTop="1" x14ac:dyDescent="0.15">
      <c r="B11" s="11">
        <v>1</v>
      </c>
      <c r="C11" s="100" t="s">
        <v>3</v>
      </c>
      <c r="D11" s="12">
        <v>0</v>
      </c>
      <c r="E11" s="12">
        <v>0</v>
      </c>
      <c r="F11" s="12">
        <v>0</v>
      </c>
      <c r="G11" s="12">
        <v>0</v>
      </c>
      <c r="H11" s="12">
        <v>0</v>
      </c>
      <c r="I11" s="12">
        <v>0</v>
      </c>
      <c r="J11" s="12">
        <v>0</v>
      </c>
      <c r="K11" s="12">
        <v>0</v>
      </c>
      <c r="L11" s="12">
        <v>0</v>
      </c>
      <c r="M11" s="12">
        <v>0</v>
      </c>
      <c r="N11" s="12">
        <v>0</v>
      </c>
      <c r="O11" s="12">
        <v>0</v>
      </c>
    </row>
    <row r="12" spans="2:17" ht="14" customHeight="1" x14ac:dyDescent="0.15">
      <c r="B12" s="13">
        <v>2</v>
      </c>
      <c r="C12" s="102" t="s">
        <v>4</v>
      </c>
      <c r="D12" s="14">
        <v>0</v>
      </c>
      <c r="E12" s="14">
        <v>9</v>
      </c>
      <c r="F12" s="14">
        <v>10</v>
      </c>
      <c r="G12" s="14">
        <v>0</v>
      </c>
      <c r="H12" s="14">
        <v>0</v>
      </c>
      <c r="I12" s="14">
        <v>0</v>
      </c>
      <c r="J12" s="14">
        <v>0</v>
      </c>
      <c r="K12" s="14">
        <v>0</v>
      </c>
      <c r="L12" s="14">
        <v>0</v>
      </c>
      <c r="M12" s="14">
        <v>0</v>
      </c>
      <c r="N12" s="14">
        <v>10</v>
      </c>
      <c r="O12" s="14">
        <v>0</v>
      </c>
    </row>
    <row r="13" spans="2:17" ht="14" customHeight="1" x14ac:dyDescent="0.15">
      <c r="B13" s="13">
        <v>3</v>
      </c>
      <c r="C13" s="102" t="s">
        <v>5</v>
      </c>
      <c r="D13" s="14">
        <v>0</v>
      </c>
      <c r="E13" s="14">
        <v>9</v>
      </c>
      <c r="F13" s="14">
        <v>10</v>
      </c>
      <c r="G13" s="14">
        <v>0</v>
      </c>
      <c r="H13" s="14">
        <v>0</v>
      </c>
      <c r="I13" s="14">
        <v>0</v>
      </c>
      <c r="J13" s="14">
        <v>0</v>
      </c>
      <c r="K13" s="14">
        <v>0</v>
      </c>
      <c r="L13" s="14">
        <v>0</v>
      </c>
      <c r="M13" s="14">
        <v>0</v>
      </c>
      <c r="N13" s="14">
        <v>10</v>
      </c>
      <c r="O13" s="14">
        <v>0</v>
      </c>
    </row>
    <row r="14" spans="2:17" ht="14" customHeight="1" x14ac:dyDescent="0.15">
      <c r="B14" s="13">
        <v>4</v>
      </c>
      <c r="C14" s="102" t="s">
        <v>6</v>
      </c>
      <c r="D14" s="14">
        <v>0</v>
      </c>
      <c r="E14" s="14">
        <v>9</v>
      </c>
      <c r="F14" s="14">
        <v>10</v>
      </c>
      <c r="G14" s="14">
        <v>0</v>
      </c>
      <c r="H14" s="14">
        <v>0</v>
      </c>
      <c r="I14" s="14">
        <v>0</v>
      </c>
      <c r="J14" s="14">
        <v>0</v>
      </c>
      <c r="K14" s="14">
        <v>0</v>
      </c>
      <c r="L14" s="14">
        <v>0</v>
      </c>
      <c r="M14" s="14">
        <v>0</v>
      </c>
      <c r="N14" s="14">
        <v>10</v>
      </c>
      <c r="O14" s="14">
        <v>0</v>
      </c>
    </row>
    <row r="15" spans="2:17" ht="14" customHeight="1" x14ac:dyDescent="0.15">
      <c r="B15" s="13">
        <v>5</v>
      </c>
      <c r="C15" s="102" t="s">
        <v>7</v>
      </c>
      <c r="D15" s="14">
        <v>0</v>
      </c>
      <c r="E15" s="14">
        <v>9</v>
      </c>
      <c r="F15" s="14">
        <v>10</v>
      </c>
      <c r="G15" s="14">
        <v>0</v>
      </c>
      <c r="H15" s="14">
        <v>0</v>
      </c>
      <c r="I15" s="14">
        <v>0</v>
      </c>
      <c r="J15" s="14">
        <v>0</v>
      </c>
      <c r="K15" s="14">
        <v>0</v>
      </c>
      <c r="L15" s="14">
        <v>0</v>
      </c>
      <c r="M15" s="14">
        <v>0</v>
      </c>
      <c r="N15" s="14">
        <v>10</v>
      </c>
      <c r="O15" s="14">
        <v>0</v>
      </c>
    </row>
    <row r="16" spans="2:17" ht="14" customHeight="1" x14ac:dyDescent="0.15">
      <c r="B16" s="13">
        <v>6</v>
      </c>
      <c r="C16" s="102" t="s">
        <v>8</v>
      </c>
      <c r="D16" s="14">
        <v>0</v>
      </c>
      <c r="E16" s="14">
        <v>9</v>
      </c>
      <c r="F16" s="14">
        <v>10</v>
      </c>
      <c r="G16" s="14">
        <v>0</v>
      </c>
      <c r="H16" s="14">
        <v>0</v>
      </c>
      <c r="I16" s="14">
        <v>0</v>
      </c>
      <c r="J16" s="14">
        <v>0</v>
      </c>
      <c r="K16" s="14">
        <v>0</v>
      </c>
      <c r="L16" s="14">
        <v>0</v>
      </c>
      <c r="M16" s="14">
        <v>0</v>
      </c>
      <c r="N16" s="14">
        <v>10</v>
      </c>
      <c r="O16" s="14">
        <v>0</v>
      </c>
    </row>
    <row r="17" spans="2:15" ht="14" customHeight="1" x14ac:dyDescent="0.15">
      <c r="B17" s="13">
        <v>7</v>
      </c>
      <c r="C17" s="102" t="s">
        <v>9</v>
      </c>
      <c r="D17" s="14">
        <v>0</v>
      </c>
      <c r="E17" s="14">
        <v>0</v>
      </c>
      <c r="F17" s="14">
        <v>0</v>
      </c>
      <c r="G17" s="14">
        <v>0</v>
      </c>
      <c r="H17" s="14">
        <v>0</v>
      </c>
      <c r="I17" s="14">
        <v>0</v>
      </c>
      <c r="J17" s="14">
        <v>0</v>
      </c>
      <c r="K17" s="14">
        <v>0</v>
      </c>
      <c r="L17" s="14">
        <v>0</v>
      </c>
      <c r="M17" s="14">
        <v>0</v>
      </c>
      <c r="N17" s="14">
        <v>0</v>
      </c>
      <c r="O17" s="14">
        <v>0</v>
      </c>
    </row>
    <row r="18" spans="2:15" ht="14" customHeight="1" thickBot="1" x14ac:dyDescent="0.2">
      <c r="B18" s="15"/>
      <c r="C18" s="16" t="s">
        <v>10</v>
      </c>
      <c r="D18" s="285">
        <f t="shared" ref="D18:O18" si="1">+D11+D12+D13+D14+D15+D16+D17</f>
        <v>0</v>
      </c>
      <c r="E18" s="285">
        <f t="shared" si="1"/>
        <v>45</v>
      </c>
      <c r="F18" s="285">
        <f t="shared" si="1"/>
        <v>50</v>
      </c>
      <c r="G18" s="285">
        <f t="shared" si="1"/>
        <v>0</v>
      </c>
      <c r="H18" s="286">
        <f t="shared" si="1"/>
        <v>0</v>
      </c>
      <c r="I18" s="285">
        <f t="shared" si="1"/>
        <v>0</v>
      </c>
      <c r="J18" s="285">
        <f t="shared" si="1"/>
        <v>0</v>
      </c>
      <c r="K18" s="285">
        <f t="shared" si="1"/>
        <v>0</v>
      </c>
      <c r="L18" s="285">
        <f t="shared" si="1"/>
        <v>0</v>
      </c>
      <c r="M18" s="285">
        <f t="shared" si="1"/>
        <v>0</v>
      </c>
      <c r="N18" s="285">
        <f t="shared" si="1"/>
        <v>50</v>
      </c>
      <c r="O18" s="285">
        <f t="shared" si="1"/>
        <v>0</v>
      </c>
    </row>
    <row r="19" spans="2:15" ht="14" customHeight="1" thickTop="1" thickBot="1" x14ac:dyDescent="0.2">
      <c r="B19" s="122" t="s">
        <v>2</v>
      </c>
      <c r="C19" s="123" t="str">
        <f>+'Calendrier 2021'!C10</f>
        <v>Mardi</v>
      </c>
      <c r="D19" s="77" t="s">
        <v>2</v>
      </c>
      <c r="E19" s="77" t="str">
        <f>'Calendrier 2021'!E10</f>
        <v>2 fev 2021</v>
      </c>
      <c r="F19" s="77">
        <f>'Calendrier 2021'!F10</f>
        <v>44257</v>
      </c>
      <c r="G19" s="77" t="s">
        <v>2</v>
      </c>
      <c r="H19" s="77" t="s">
        <v>2</v>
      </c>
      <c r="I19" s="77">
        <f>'Calendrier 2021'!I10</f>
        <v>44348</v>
      </c>
      <c r="J19" s="77" t="s">
        <v>2</v>
      </c>
      <c r="K19" s="77" t="s">
        <v>2</v>
      </c>
      <c r="L19" s="77" t="s">
        <v>2</v>
      </c>
      <c r="M19" s="77" t="s">
        <v>2</v>
      </c>
      <c r="N19" s="77">
        <f>'Calendrier 2021'!N10</f>
        <v>44502</v>
      </c>
      <c r="O19" s="78" t="s">
        <v>2</v>
      </c>
    </row>
    <row r="20" spans="2:15" ht="14" customHeight="1" thickTop="1" thickBot="1" x14ac:dyDescent="0.2">
      <c r="B20" s="18">
        <v>1</v>
      </c>
      <c r="C20" s="100" t="str">
        <f t="shared" ref="C20:C26" si="2">C11</f>
        <v>6 h à 9 h 30</v>
      </c>
      <c r="D20" s="12">
        <v>0</v>
      </c>
      <c r="E20" s="12">
        <v>0</v>
      </c>
      <c r="F20" s="12">
        <v>0</v>
      </c>
      <c r="G20" s="12">
        <v>0</v>
      </c>
      <c r="H20" s="12">
        <v>0</v>
      </c>
      <c r="I20" s="12">
        <v>0</v>
      </c>
      <c r="J20" s="12">
        <v>0</v>
      </c>
      <c r="K20" s="12">
        <v>0</v>
      </c>
      <c r="L20" s="12">
        <v>0</v>
      </c>
      <c r="M20" s="12">
        <v>0</v>
      </c>
      <c r="N20" s="12">
        <v>0</v>
      </c>
      <c r="O20" s="12">
        <v>0</v>
      </c>
    </row>
    <row r="21" spans="2:15" ht="14" customHeight="1" thickTop="1" thickBot="1" x14ac:dyDescent="0.2">
      <c r="B21" s="121">
        <v>2</v>
      </c>
      <c r="C21" s="102" t="str">
        <f t="shared" si="2"/>
        <v>9 h 30 à 11 h 30</v>
      </c>
      <c r="D21" s="14">
        <v>0</v>
      </c>
      <c r="E21" s="14">
        <v>9</v>
      </c>
      <c r="F21" s="14">
        <v>10</v>
      </c>
      <c r="G21" s="14">
        <v>0</v>
      </c>
      <c r="H21" s="14">
        <v>0</v>
      </c>
      <c r="I21" s="14">
        <v>15</v>
      </c>
      <c r="J21" s="14">
        <v>0</v>
      </c>
      <c r="K21" s="14">
        <v>0</v>
      </c>
      <c r="L21" s="14">
        <v>0</v>
      </c>
      <c r="M21" s="14">
        <v>0</v>
      </c>
      <c r="N21" s="14">
        <v>10</v>
      </c>
      <c r="O21" s="14">
        <v>0</v>
      </c>
    </row>
    <row r="22" spans="2:15" ht="14" customHeight="1" thickTop="1" thickBot="1" x14ac:dyDescent="0.2">
      <c r="B22" s="121">
        <v>3</v>
      </c>
      <c r="C22" s="102" t="str">
        <f t="shared" si="2"/>
        <v>11 h 30 à 14 h 30</v>
      </c>
      <c r="D22" s="14">
        <v>0</v>
      </c>
      <c r="E22" s="14">
        <v>9</v>
      </c>
      <c r="F22" s="14">
        <v>10</v>
      </c>
      <c r="G22" s="14">
        <v>0</v>
      </c>
      <c r="H22" s="14">
        <v>0</v>
      </c>
      <c r="I22" s="14">
        <v>15</v>
      </c>
      <c r="J22" s="14">
        <v>0</v>
      </c>
      <c r="K22" s="14">
        <v>0</v>
      </c>
      <c r="L22" s="14">
        <v>0</v>
      </c>
      <c r="M22" s="14">
        <v>0</v>
      </c>
      <c r="N22" s="14">
        <v>10</v>
      </c>
      <c r="O22" s="14">
        <v>0</v>
      </c>
    </row>
    <row r="23" spans="2:15" ht="14" customHeight="1" thickTop="1" thickBot="1" x14ac:dyDescent="0.2">
      <c r="B23" s="121">
        <v>4</v>
      </c>
      <c r="C23" s="102" t="str">
        <f t="shared" si="2"/>
        <v>14 h 30 à 17 h</v>
      </c>
      <c r="D23" s="14">
        <v>0</v>
      </c>
      <c r="E23" s="14">
        <v>9</v>
      </c>
      <c r="F23" s="14">
        <v>10</v>
      </c>
      <c r="G23" s="14">
        <v>0</v>
      </c>
      <c r="H23" s="14">
        <v>0</v>
      </c>
      <c r="I23" s="14">
        <v>15</v>
      </c>
      <c r="J23" s="14">
        <v>0</v>
      </c>
      <c r="K23" s="14">
        <v>0</v>
      </c>
      <c r="L23" s="14">
        <v>0</v>
      </c>
      <c r="M23" s="14">
        <v>0</v>
      </c>
      <c r="N23" s="14">
        <v>10</v>
      </c>
      <c r="O23" s="14">
        <v>0</v>
      </c>
    </row>
    <row r="24" spans="2:15" ht="14" customHeight="1" thickTop="1" thickBot="1" x14ac:dyDescent="0.2">
      <c r="B24" s="121">
        <v>5</v>
      </c>
      <c r="C24" s="102" t="str">
        <f t="shared" si="2"/>
        <v>17 h à 19 h</v>
      </c>
      <c r="D24" s="14">
        <v>0</v>
      </c>
      <c r="E24" s="14">
        <v>9</v>
      </c>
      <c r="F24" s="14">
        <v>10</v>
      </c>
      <c r="G24" s="14">
        <v>0</v>
      </c>
      <c r="H24" s="14">
        <v>0</v>
      </c>
      <c r="I24" s="14">
        <v>15</v>
      </c>
      <c r="J24" s="14">
        <v>0</v>
      </c>
      <c r="K24" s="14">
        <v>0</v>
      </c>
      <c r="L24" s="14">
        <v>0</v>
      </c>
      <c r="M24" s="14">
        <v>0</v>
      </c>
      <c r="N24" s="14">
        <v>10</v>
      </c>
      <c r="O24" s="14">
        <v>0</v>
      </c>
    </row>
    <row r="25" spans="2:15" ht="14" customHeight="1" thickTop="1" thickBot="1" x14ac:dyDescent="0.2">
      <c r="B25" s="121">
        <v>6</v>
      </c>
      <c r="C25" s="102" t="str">
        <f t="shared" si="2"/>
        <v>19 h à 23 h</v>
      </c>
      <c r="D25" s="14">
        <v>0</v>
      </c>
      <c r="E25" s="14">
        <v>9</v>
      </c>
      <c r="F25" s="14">
        <v>10</v>
      </c>
      <c r="G25" s="14">
        <v>0</v>
      </c>
      <c r="H25" s="14">
        <v>0</v>
      </c>
      <c r="I25" s="14">
        <v>15</v>
      </c>
      <c r="J25" s="14">
        <v>0</v>
      </c>
      <c r="K25" s="14">
        <v>0</v>
      </c>
      <c r="L25" s="14">
        <v>0</v>
      </c>
      <c r="M25" s="14">
        <v>0</v>
      </c>
      <c r="N25" s="14">
        <v>10</v>
      </c>
      <c r="O25" s="14">
        <v>0</v>
      </c>
    </row>
    <row r="26" spans="2:15" ht="14" customHeight="1" thickTop="1" thickBot="1" x14ac:dyDescent="0.2">
      <c r="B26" s="121">
        <v>7</v>
      </c>
      <c r="C26" s="102" t="str">
        <f t="shared" si="2"/>
        <v>23 h à 6 h</v>
      </c>
      <c r="D26" s="14">
        <v>0</v>
      </c>
      <c r="E26" s="14">
        <v>0</v>
      </c>
      <c r="F26" s="14">
        <v>0</v>
      </c>
      <c r="G26" s="14">
        <v>0</v>
      </c>
      <c r="H26" s="14">
        <v>0</v>
      </c>
      <c r="I26" s="14">
        <v>0</v>
      </c>
      <c r="J26" s="14">
        <v>0</v>
      </c>
      <c r="K26" s="14">
        <v>0</v>
      </c>
      <c r="L26" s="14">
        <v>0</v>
      </c>
      <c r="M26" s="14">
        <v>0</v>
      </c>
      <c r="N26" s="14">
        <v>0</v>
      </c>
      <c r="O26" s="14">
        <v>0</v>
      </c>
    </row>
    <row r="27" spans="2:15" ht="14" customHeight="1" thickTop="1" thickBot="1" x14ac:dyDescent="0.2">
      <c r="B27" s="19"/>
      <c r="C27" s="20" t="str">
        <f t="shared" ref="C27" si="3">+C18</f>
        <v>Total</v>
      </c>
      <c r="D27" s="302">
        <f t="shared" ref="D27:O27" si="4">+D20+D21+D22+D23+D24+D25+D26</f>
        <v>0</v>
      </c>
      <c r="E27" s="302">
        <f t="shared" si="4"/>
        <v>45</v>
      </c>
      <c r="F27" s="302">
        <f t="shared" si="4"/>
        <v>50</v>
      </c>
      <c r="G27" s="302">
        <f t="shared" si="4"/>
        <v>0</v>
      </c>
      <c r="H27" s="17">
        <f t="shared" si="4"/>
        <v>0</v>
      </c>
      <c r="I27" s="302">
        <f t="shared" si="4"/>
        <v>75</v>
      </c>
      <c r="J27" s="302">
        <f t="shared" si="4"/>
        <v>0</v>
      </c>
      <c r="K27" s="17">
        <f t="shared" si="4"/>
        <v>0</v>
      </c>
      <c r="L27" s="303">
        <f>+L20+L21+L22+L23+L24+L25+L26</f>
        <v>0</v>
      </c>
      <c r="M27" s="24">
        <f t="shared" si="4"/>
        <v>0</v>
      </c>
      <c r="N27" s="24">
        <f t="shared" si="4"/>
        <v>50</v>
      </c>
      <c r="O27" s="24">
        <f t="shared" si="4"/>
        <v>0</v>
      </c>
    </row>
    <row r="28" spans="2:15" ht="14" customHeight="1" thickTop="1" thickBot="1" x14ac:dyDescent="0.2">
      <c r="B28" s="122" t="s">
        <v>2</v>
      </c>
      <c r="C28" s="123" t="str">
        <f>+'Calendrier 2021'!C11</f>
        <v>Mercredi</v>
      </c>
      <c r="D28" s="77" t="s">
        <v>2</v>
      </c>
      <c r="E28" s="77" t="str">
        <f>'Calendrier 2021'!E11</f>
        <v>3 fev 2021</v>
      </c>
      <c r="F28" s="77">
        <f>'Calendrier 2021'!F11</f>
        <v>44258</v>
      </c>
      <c r="G28" s="77" t="s">
        <v>2</v>
      </c>
      <c r="H28" s="77" t="s">
        <v>2</v>
      </c>
      <c r="I28" s="77">
        <f>'Calendrier 2021'!I11</f>
        <v>44349</v>
      </c>
      <c r="J28" s="77" t="s">
        <v>2</v>
      </c>
      <c r="K28" s="77" t="s">
        <v>2</v>
      </c>
      <c r="L28" s="77">
        <f>'Calendrier 2021'!L11</f>
        <v>44440</v>
      </c>
      <c r="M28" s="77" t="s">
        <v>2</v>
      </c>
      <c r="N28" s="77">
        <f>'Calendrier 2021'!N11</f>
        <v>44503</v>
      </c>
      <c r="O28" s="78" t="str">
        <f>'Calendrier 2021'!O11</f>
        <v>1 dec 2021</v>
      </c>
    </row>
    <row r="29" spans="2:15" ht="14" customHeight="1" thickTop="1" thickBot="1" x14ac:dyDescent="0.2">
      <c r="B29" s="18">
        <v>1</v>
      </c>
      <c r="C29" s="100" t="str">
        <f t="shared" ref="C29:C35" si="5">C20</f>
        <v>6 h à 9 h 30</v>
      </c>
      <c r="D29" s="12">
        <v>0</v>
      </c>
      <c r="E29" s="12">
        <v>0</v>
      </c>
      <c r="F29" s="12">
        <v>0</v>
      </c>
      <c r="G29" s="12">
        <v>0</v>
      </c>
      <c r="H29" s="12">
        <v>0</v>
      </c>
      <c r="I29" s="12">
        <v>0</v>
      </c>
      <c r="J29" s="12">
        <v>0</v>
      </c>
      <c r="K29" s="12">
        <v>0</v>
      </c>
      <c r="L29" s="12">
        <v>0</v>
      </c>
      <c r="M29" s="12">
        <v>0</v>
      </c>
      <c r="N29" s="12">
        <v>0</v>
      </c>
      <c r="O29" s="12">
        <v>0</v>
      </c>
    </row>
    <row r="30" spans="2:15" ht="14" customHeight="1" thickTop="1" thickBot="1" x14ac:dyDescent="0.2">
      <c r="B30" s="121">
        <v>2</v>
      </c>
      <c r="C30" s="102" t="str">
        <f t="shared" si="5"/>
        <v>9 h 30 à 11 h 30</v>
      </c>
      <c r="D30" s="14">
        <v>0</v>
      </c>
      <c r="E30" s="14">
        <v>9</v>
      </c>
      <c r="F30" s="14">
        <v>10</v>
      </c>
      <c r="G30" s="14">
        <v>0</v>
      </c>
      <c r="H30" s="14">
        <v>0</v>
      </c>
      <c r="I30" s="14">
        <v>15</v>
      </c>
      <c r="J30" s="14">
        <v>0</v>
      </c>
      <c r="K30" s="14">
        <v>0</v>
      </c>
      <c r="L30" s="14">
        <v>12</v>
      </c>
      <c r="M30" s="14">
        <v>0</v>
      </c>
      <c r="N30" s="14">
        <v>10</v>
      </c>
      <c r="O30" s="14">
        <v>12</v>
      </c>
    </row>
    <row r="31" spans="2:15" ht="14" customHeight="1" thickTop="1" thickBot="1" x14ac:dyDescent="0.2">
      <c r="B31" s="121">
        <v>3</v>
      </c>
      <c r="C31" s="102" t="str">
        <f t="shared" si="5"/>
        <v>11 h 30 à 14 h 30</v>
      </c>
      <c r="D31" s="14">
        <v>0</v>
      </c>
      <c r="E31" s="14">
        <v>9</v>
      </c>
      <c r="F31" s="14">
        <v>10</v>
      </c>
      <c r="G31" s="14">
        <v>0</v>
      </c>
      <c r="H31" s="14">
        <v>0</v>
      </c>
      <c r="I31" s="14">
        <v>15</v>
      </c>
      <c r="J31" s="14">
        <v>0</v>
      </c>
      <c r="K31" s="14">
        <v>0</v>
      </c>
      <c r="L31" s="14">
        <v>12</v>
      </c>
      <c r="M31" s="14">
        <v>0</v>
      </c>
      <c r="N31" s="14">
        <v>10</v>
      </c>
      <c r="O31" s="14">
        <v>12</v>
      </c>
    </row>
    <row r="32" spans="2:15" ht="14" customHeight="1" thickTop="1" thickBot="1" x14ac:dyDescent="0.2">
      <c r="B32" s="121">
        <v>4</v>
      </c>
      <c r="C32" s="102" t="str">
        <f t="shared" si="5"/>
        <v>14 h 30 à 17 h</v>
      </c>
      <c r="D32" s="14">
        <v>0</v>
      </c>
      <c r="E32" s="14">
        <v>9</v>
      </c>
      <c r="F32" s="14">
        <v>10</v>
      </c>
      <c r="G32" s="14">
        <v>0</v>
      </c>
      <c r="H32" s="14">
        <v>0</v>
      </c>
      <c r="I32" s="14">
        <v>15</v>
      </c>
      <c r="J32" s="14">
        <v>0</v>
      </c>
      <c r="K32" s="14">
        <v>0</v>
      </c>
      <c r="L32" s="14">
        <v>12</v>
      </c>
      <c r="M32" s="14">
        <v>0</v>
      </c>
      <c r="N32" s="14">
        <v>10</v>
      </c>
      <c r="O32" s="14">
        <v>12</v>
      </c>
    </row>
    <row r="33" spans="2:15" ht="14" customHeight="1" thickTop="1" thickBot="1" x14ac:dyDescent="0.2">
      <c r="B33" s="121">
        <v>5</v>
      </c>
      <c r="C33" s="102" t="str">
        <f t="shared" si="5"/>
        <v>17 h à 19 h</v>
      </c>
      <c r="D33" s="14">
        <v>0</v>
      </c>
      <c r="E33" s="14">
        <v>9</v>
      </c>
      <c r="F33" s="14">
        <v>10</v>
      </c>
      <c r="G33" s="14">
        <v>0</v>
      </c>
      <c r="H33" s="14">
        <v>0</v>
      </c>
      <c r="I33" s="14">
        <v>15</v>
      </c>
      <c r="J33" s="14">
        <v>0</v>
      </c>
      <c r="K33" s="14">
        <v>0</v>
      </c>
      <c r="L33" s="14">
        <v>12</v>
      </c>
      <c r="M33" s="14">
        <v>0</v>
      </c>
      <c r="N33" s="14">
        <v>10</v>
      </c>
      <c r="O33" s="14">
        <v>12</v>
      </c>
    </row>
    <row r="34" spans="2:15" ht="14" customHeight="1" thickTop="1" thickBot="1" x14ac:dyDescent="0.2">
      <c r="B34" s="121">
        <v>6</v>
      </c>
      <c r="C34" s="102" t="str">
        <f t="shared" si="5"/>
        <v>19 h à 23 h</v>
      </c>
      <c r="D34" s="14">
        <v>0</v>
      </c>
      <c r="E34" s="14">
        <v>9</v>
      </c>
      <c r="F34" s="14">
        <v>10</v>
      </c>
      <c r="G34" s="14">
        <v>0</v>
      </c>
      <c r="H34" s="14">
        <v>0</v>
      </c>
      <c r="I34" s="14">
        <v>15</v>
      </c>
      <c r="J34" s="14">
        <v>0</v>
      </c>
      <c r="K34" s="14">
        <v>0</v>
      </c>
      <c r="L34" s="14">
        <v>12</v>
      </c>
      <c r="M34" s="14">
        <v>0</v>
      </c>
      <c r="N34" s="14">
        <v>10</v>
      </c>
      <c r="O34" s="14">
        <v>12</v>
      </c>
    </row>
    <row r="35" spans="2:15" ht="14" customHeight="1" thickTop="1" thickBot="1" x14ac:dyDescent="0.2">
      <c r="B35" s="121">
        <v>7</v>
      </c>
      <c r="C35" s="102" t="str">
        <f t="shared" si="5"/>
        <v>23 h à 6 h</v>
      </c>
      <c r="D35" s="14">
        <v>0</v>
      </c>
      <c r="E35" s="14">
        <v>0</v>
      </c>
      <c r="F35" s="14">
        <v>0</v>
      </c>
      <c r="G35" s="14">
        <v>0</v>
      </c>
      <c r="H35" s="14">
        <v>0</v>
      </c>
      <c r="I35" s="14">
        <v>0</v>
      </c>
      <c r="J35" s="14">
        <v>0</v>
      </c>
      <c r="K35" s="14">
        <v>0</v>
      </c>
      <c r="L35" s="14">
        <v>0</v>
      </c>
      <c r="M35" s="14">
        <v>0</v>
      </c>
      <c r="N35" s="14">
        <v>0</v>
      </c>
      <c r="O35" s="14">
        <v>0</v>
      </c>
    </row>
    <row r="36" spans="2:15" ht="14" customHeight="1" thickTop="1" thickBot="1" x14ac:dyDescent="0.2">
      <c r="B36" s="19"/>
      <c r="C36" s="21" t="str">
        <f t="shared" ref="C36" si="6">+C18</f>
        <v>Total</v>
      </c>
      <c r="D36" s="17">
        <f t="shared" ref="D36:O36" si="7">+D29+D30+D31+D32+D33+D34+D35</f>
        <v>0</v>
      </c>
      <c r="E36" s="17">
        <f t="shared" si="7"/>
        <v>45</v>
      </c>
      <c r="F36" s="17">
        <f t="shared" si="7"/>
        <v>50</v>
      </c>
      <c r="G36" s="24">
        <f t="shared" si="7"/>
        <v>0</v>
      </c>
      <c r="H36" s="17">
        <f t="shared" si="7"/>
        <v>0</v>
      </c>
      <c r="I36" s="24">
        <f t="shared" si="7"/>
        <v>75</v>
      </c>
      <c r="J36" s="24">
        <f t="shared" si="7"/>
        <v>0</v>
      </c>
      <c r="K36" s="17">
        <f t="shared" si="7"/>
        <v>0</v>
      </c>
      <c r="L36" s="24">
        <f t="shared" si="7"/>
        <v>60</v>
      </c>
      <c r="M36" s="24">
        <f t="shared" si="7"/>
        <v>0</v>
      </c>
      <c r="N36" s="17">
        <f t="shared" si="7"/>
        <v>50</v>
      </c>
      <c r="O36" s="24">
        <f t="shared" si="7"/>
        <v>60</v>
      </c>
    </row>
    <row r="37" spans="2:15" ht="14" customHeight="1" thickTop="1" thickBot="1" x14ac:dyDescent="0.2">
      <c r="B37" s="124" t="s">
        <v>2</v>
      </c>
      <c r="C37" s="125" t="str">
        <f>+'Calendrier 2021'!C12</f>
        <v>Jeudi</v>
      </c>
      <c r="D37" s="79" t="s">
        <v>2</v>
      </c>
      <c r="E37" s="77" t="str">
        <f>'Calendrier 2021'!E12</f>
        <v>4 fev 2021</v>
      </c>
      <c r="F37" s="77">
        <f>'Calendrier 2021'!F12</f>
        <v>44259</v>
      </c>
      <c r="G37" s="77">
        <f>'Calendrier 2021'!G12</f>
        <v>44287</v>
      </c>
      <c r="H37" s="77" t="s">
        <v>2</v>
      </c>
      <c r="I37" s="77">
        <f>'Calendrier 2021'!I12</f>
        <v>44350</v>
      </c>
      <c r="J37" s="77">
        <f>'Calendrier 2021'!J12</f>
        <v>44378</v>
      </c>
      <c r="K37" s="77" t="s">
        <v>2</v>
      </c>
      <c r="L37" s="77">
        <f>'Calendrier 2021'!L12</f>
        <v>44441</v>
      </c>
      <c r="M37" s="77" t="s">
        <v>2</v>
      </c>
      <c r="N37" s="77">
        <f>'Calendrier 2021'!N12</f>
        <v>44504</v>
      </c>
      <c r="O37" s="78" t="str">
        <f>'Calendrier 2021'!O12</f>
        <v>2 dec 2021</v>
      </c>
    </row>
    <row r="38" spans="2:15" ht="14" customHeight="1" thickTop="1" thickBot="1" x14ac:dyDescent="0.2">
      <c r="B38" s="18">
        <v>1</v>
      </c>
      <c r="C38" s="100" t="str">
        <f t="shared" ref="C38:C44" si="8">C29</f>
        <v>6 h à 9 h 30</v>
      </c>
      <c r="D38" s="12">
        <v>0</v>
      </c>
      <c r="E38" s="12">
        <v>0</v>
      </c>
      <c r="F38" s="12">
        <v>0</v>
      </c>
      <c r="G38" s="12">
        <v>0</v>
      </c>
      <c r="H38" s="12">
        <v>0</v>
      </c>
      <c r="I38" s="12">
        <v>0</v>
      </c>
      <c r="J38" s="12">
        <v>0</v>
      </c>
      <c r="K38" s="12">
        <v>0</v>
      </c>
      <c r="L38" s="12">
        <v>0</v>
      </c>
      <c r="M38" s="12">
        <v>0</v>
      </c>
      <c r="N38" s="12">
        <v>0</v>
      </c>
      <c r="O38" s="12">
        <v>0</v>
      </c>
    </row>
    <row r="39" spans="2:15" ht="14" customHeight="1" thickTop="1" thickBot="1" x14ac:dyDescent="0.2">
      <c r="B39" s="121">
        <v>2</v>
      </c>
      <c r="C39" s="102" t="str">
        <f t="shared" si="8"/>
        <v>9 h 30 à 11 h 30</v>
      </c>
      <c r="D39" s="14">
        <v>0</v>
      </c>
      <c r="E39" s="14">
        <v>9</v>
      </c>
      <c r="F39" s="14">
        <v>10</v>
      </c>
      <c r="G39" s="14">
        <v>11</v>
      </c>
      <c r="H39" s="14">
        <v>0</v>
      </c>
      <c r="I39" s="14">
        <v>15</v>
      </c>
      <c r="J39" s="14">
        <v>20</v>
      </c>
      <c r="K39" s="14">
        <v>0</v>
      </c>
      <c r="L39" s="14">
        <v>12</v>
      </c>
      <c r="M39" s="14">
        <v>0</v>
      </c>
      <c r="N39" s="14">
        <v>10</v>
      </c>
      <c r="O39" s="14">
        <v>12</v>
      </c>
    </row>
    <row r="40" spans="2:15" ht="14" customHeight="1" thickTop="1" thickBot="1" x14ac:dyDescent="0.2">
      <c r="B40" s="121">
        <v>3</v>
      </c>
      <c r="C40" s="102" t="str">
        <f t="shared" si="8"/>
        <v>11 h 30 à 14 h 30</v>
      </c>
      <c r="D40" s="14">
        <v>0</v>
      </c>
      <c r="E40" s="14">
        <v>9</v>
      </c>
      <c r="F40" s="14">
        <v>10</v>
      </c>
      <c r="G40" s="14">
        <v>11</v>
      </c>
      <c r="H40" s="14">
        <v>0</v>
      </c>
      <c r="I40" s="14">
        <v>15</v>
      </c>
      <c r="J40" s="14">
        <v>20</v>
      </c>
      <c r="K40" s="14">
        <v>0</v>
      </c>
      <c r="L40" s="14">
        <v>12</v>
      </c>
      <c r="M40" s="14">
        <v>0</v>
      </c>
      <c r="N40" s="14">
        <v>10</v>
      </c>
      <c r="O40" s="14">
        <v>12</v>
      </c>
    </row>
    <row r="41" spans="2:15" ht="14" customHeight="1" thickTop="1" thickBot="1" x14ac:dyDescent="0.2">
      <c r="B41" s="121">
        <v>4</v>
      </c>
      <c r="C41" s="102" t="str">
        <f t="shared" si="8"/>
        <v>14 h 30 à 17 h</v>
      </c>
      <c r="D41" s="14">
        <v>0</v>
      </c>
      <c r="E41" s="14">
        <v>9</v>
      </c>
      <c r="F41" s="14">
        <v>10</v>
      </c>
      <c r="G41" s="14">
        <v>11</v>
      </c>
      <c r="H41" s="14">
        <v>0</v>
      </c>
      <c r="I41" s="14">
        <v>15</v>
      </c>
      <c r="J41" s="14">
        <v>20</v>
      </c>
      <c r="K41" s="14">
        <v>0</v>
      </c>
      <c r="L41" s="14">
        <v>12</v>
      </c>
      <c r="M41" s="14">
        <v>0</v>
      </c>
      <c r="N41" s="14">
        <v>10</v>
      </c>
      <c r="O41" s="14">
        <v>12</v>
      </c>
    </row>
    <row r="42" spans="2:15" ht="14" customHeight="1" thickTop="1" thickBot="1" x14ac:dyDescent="0.2">
      <c r="B42" s="121">
        <v>5</v>
      </c>
      <c r="C42" s="102" t="str">
        <f t="shared" si="8"/>
        <v>17 h à 19 h</v>
      </c>
      <c r="D42" s="14">
        <v>0</v>
      </c>
      <c r="E42" s="14">
        <v>9</v>
      </c>
      <c r="F42" s="14">
        <v>10</v>
      </c>
      <c r="G42" s="14">
        <v>11</v>
      </c>
      <c r="H42" s="14">
        <v>0</v>
      </c>
      <c r="I42" s="14">
        <v>15</v>
      </c>
      <c r="J42" s="14">
        <v>20</v>
      </c>
      <c r="K42" s="14">
        <v>0</v>
      </c>
      <c r="L42" s="14">
        <v>12</v>
      </c>
      <c r="M42" s="14">
        <v>0</v>
      </c>
      <c r="N42" s="14">
        <v>10</v>
      </c>
      <c r="O42" s="14">
        <v>12</v>
      </c>
    </row>
    <row r="43" spans="2:15" ht="14" customHeight="1" thickTop="1" thickBot="1" x14ac:dyDescent="0.2">
      <c r="B43" s="121">
        <v>6</v>
      </c>
      <c r="C43" s="102" t="str">
        <f t="shared" si="8"/>
        <v>19 h à 23 h</v>
      </c>
      <c r="D43" s="14">
        <v>0</v>
      </c>
      <c r="E43" s="14">
        <v>9</v>
      </c>
      <c r="F43" s="14">
        <v>10</v>
      </c>
      <c r="G43" s="14">
        <v>11</v>
      </c>
      <c r="H43" s="14">
        <v>0</v>
      </c>
      <c r="I43" s="14">
        <v>15</v>
      </c>
      <c r="J43" s="14">
        <v>20</v>
      </c>
      <c r="K43" s="14">
        <v>0</v>
      </c>
      <c r="L43" s="14">
        <v>12</v>
      </c>
      <c r="M43" s="14">
        <v>0</v>
      </c>
      <c r="N43" s="14">
        <v>10</v>
      </c>
      <c r="O43" s="14">
        <v>12</v>
      </c>
    </row>
    <row r="44" spans="2:15" ht="14" customHeight="1" thickTop="1" thickBot="1" x14ac:dyDescent="0.2">
      <c r="B44" s="121">
        <v>7</v>
      </c>
      <c r="C44" s="102" t="str">
        <f t="shared" si="8"/>
        <v>23 h à 6 h</v>
      </c>
      <c r="D44" s="14">
        <v>0</v>
      </c>
      <c r="E44" s="14">
        <v>0</v>
      </c>
      <c r="F44" s="14">
        <v>0</v>
      </c>
      <c r="G44" s="14">
        <v>0</v>
      </c>
      <c r="H44" s="14">
        <v>0</v>
      </c>
      <c r="I44" s="14">
        <v>0</v>
      </c>
      <c r="J44" s="14">
        <v>0</v>
      </c>
      <c r="K44" s="14">
        <v>0</v>
      </c>
      <c r="L44" s="14">
        <v>0</v>
      </c>
      <c r="M44" s="14">
        <v>0</v>
      </c>
      <c r="N44" s="14">
        <v>0</v>
      </c>
      <c r="O44" s="14">
        <v>0</v>
      </c>
    </row>
    <row r="45" spans="2:15" ht="14" customHeight="1" thickTop="1" thickBot="1" x14ac:dyDescent="0.2">
      <c r="B45" s="19"/>
      <c r="C45" s="298" t="str">
        <f>+C36</f>
        <v>Total</v>
      </c>
      <c r="D45" s="17">
        <f t="shared" ref="D45:K45" si="9">+D38+D39+D40+D41+D42+D43+D44</f>
        <v>0</v>
      </c>
      <c r="E45" s="17">
        <f t="shared" si="9"/>
        <v>45</v>
      </c>
      <c r="F45" s="17">
        <f t="shared" si="9"/>
        <v>50</v>
      </c>
      <c r="G45" s="24">
        <f t="shared" si="9"/>
        <v>55</v>
      </c>
      <c r="H45" s="17">
        <f t="shared" si="9"/>
        <v>0</v>
      </c>
      <c r="I45" s="17">
        <f t="shared" si="9"/>
        <v>75</v>
      </c>
      <c r="J45" s="24">
        <f t="shared" si="9"/>
        <v>100</v>
      </c>
      <c r="K45" s="17">
        <f t="shared" si="9"/>
        <v>0</v>
      </c>
      <c r="L45" s="24">
        <f>+L38+L39+L40+L41+L42+L43+L44</f>
        <v>60</v>
      </c>
      <c r="M45" s="24">
        <f>+M38+M39+M40+M41+M42+M43+M44</f>
        <v>0</v>
      </c>
      <c r="N45" s="17">
        <f>+N38+N39+N40+N41+N42+N43+N44</f>
        <v>50</v>
      </c>
      <c r="O45" s="24">
        <f>+O38+O39+O40+O41+O42+O43+O44</f>
        <v>60</v>
      </c>
    </row>
    <row r="46" spans="2:15" ht="14" customHeight="1" thickTop="1" thickBot="1" x14ac:dyDescent="0.2">
      <c r="B46" s="124" t="s">
        <v>2</v>
      </c>
      <c r="C46" s="299" t="str">
        <f>+'Calendrier 2021'!C13</f>
        <v>Vendredi</v>
      </c>
      <c r="D46" s="77">
        <f>'Calendrier 2021'!D13</f>
        <v>44197</v>
      </c>
      <c r="E46" s="77" t="str">
        <f>'Calendrier 2021'!E13</f>
        <v>5 fev 2021</v>
      </c>
      <c r="F46" s="77">
        <f>'Calendrier 2021'!F13</f>
        <v>44260</v>
      </c>
      <c r="G46" s="77">
        <f>'Calendrier 2021'!G13</f>
        <v>44288</v>
      </c>
      <c r="H46" s="77" t="s">
        <v>2</v>
      </c>
      <c r="I46" s="77">
        <f>'Calendrier 2021'!I13</f>
        <v>44351</v>
      </c>
      <c r="J46" s="77">
        <f>'Calendrier 2021'!J13</f>
        <v>44379</v>
      </c>
      <c r="K46" s="77" t="s">
        <v>2</v>
      </c>
      <c r="L46" s="77">
        <f>'Calendrier 2021'!L13</f>
        <v>44442</v>
      </c>
      <c r="M46" s="77">
        <f>'Calendrier 2021'!M13</f>
        <v>44470</v>
      </c>
      <c r="N46" s="77">
        <f>'Calendrier 2021'!N13</f>
        <v>44505</v>
      </c>
      <c r="O46" s="78" t="str">
        <f>'Calendrier 2021'!O13</f>
        <v>3 dec 2021</v>
      </c>
    </row>
    <row r="47" spans="2:15" ht="14" customHeight="1" thickTop="1" thickBot="1" x14ac:dyDescent="0.2">
      <c r="B47" s="18">
        <v>1</v>
      </c>
      <c r="C47" s="300" t="str">
        <f t="shared" ref="C47:C53" si="10">C38</f>
        <v>6 h à 9 h 30</v>
      </c>
      <c r="D47" s="12">
        <v>0</v>
      </c>
      <c r="E47" s="12">
        <v>0</v>
      </c>
      <c r="F47" s="12">
        <v>0</v>
      </c>
      <c r="G47" s="12">
        <v>0</v>
      </c>
      <c r="H47" s="12">
        <v>0</v>
      </c>
      <c r="I47" s="12">
        <v>0</v>
      </c>
      <c r="J47" s="12">
        <v>0</v>
      </c>
      <c r="K47" s="12">
        <v>0</v>
      </c>
      <c r="L47" s="12">
        <v>0</v>
      </c>
      <c r="M47" s="12">
        <v>0</v>
      </c>
      <c r="N47" s="12">
        <v>0</v>
      </c>
      <c r="O47" s="12">
        <v>0</v>
      </c>
    </row>
    <row r="48" spans="2:15" ht="14" customHeight="1" thickTop="1" thickBot="1" x14ac:dyDescent="0.2">
      <c r="B48" s="121">
        <v>2</v>
      </c>
      <c r="C48" s="102" t="str">
        <f t="shared" si="10"/>
        <v>9 h 30 à 11 h 30</v>
      </c>
      <c r="D48" s="14">
        <v>10</v>
      </c>
      <c r="E48" s="14">
        <v>9</v>
      </c>
      <c r="F48" s="14">
        <v>10</v>
      </c>
      <c r="G48" s="14">
        <v>11</v>
      </c>
      <c r="H48" s="14">
        <v>0</v>
      </c>
      <c r="I48" s="14">
        <v>15</v>
      </c>
      <c r="J48" s="14">
        <v>20</v>
      </c>
      <c r="K48" s="14">
        <v>0</v>
      </c>
      <c r="L48" s="14">
        <v>12</v>
      </c>
      <c r="M48" s="14">
        <v>11</v>
      </c>
      <c r="N48" s="14">
        <v>10</v>
      </c>
      <c r="O48" s="14">
        <v>12</v>
      </c>
    </row>
    <row r="49" spans="2:15" ht="14" customHeight="1" thickTop="1" thickBot="1" x14ac:dyDescent="0.2">
      <c r="B49" s="121">
        <v>3</v>
      </c>
      <c r="C49" s="102" t="str">
        <f t="shared" si="10"/>
        <v>11 h 30 à 14 h 30</v>
      </c>
      <c r="D49" s="14">
        <v>10</v>
      </c>
      <c r="E49" s="14">
        <v>9</v>
      </c>
      <c r="F49" s="14">
        <v>10</v>
      </c>
      <c r="G49" s="14">
        <v>11</v>
      </c>
      <c r="H49" s="14">
        <v>0</v>
      </c>
      <c r="I49" s="14">
        <v>15</v>
      </c>
      <c r="J49" s="14">
        <v>20</v>
      </c>
      <c r="K49" s="14">
        <v>0</v>
      </c>
      <c r="L49" s="14">
        <v>12</v>
      </c>
      <c r="M49" s="14">
        <v>11</v>
      </c>
      <c r="N49" s="14">
        <v>10</v>
      </c>
      <c r="O49" s="14">
        <v>12</v>
      </c>
    </row>
    <row r="50" spans="2:15" ht="14" customHeight="1" thickTop="1" thickBot="1" x14ac:dyDescent="0.2">
      <c r="B50" s="121">
        <v>4</v>
      </c>
      <c r="C50" s="102" t="str">
        <f t="shared" si="10"/>
        <v>14 h 30 à 17 h</v>
      </c>
      <c r="D50" s="14">
        <v>10</v>
      </c>
      <c r="E50" s="14">
        <v>9</v>
      </c>
      <c r="F50" s="14">
        <v>10</v>
      </c>
      <c r="G50" s="14">
        <v>11</v>
      </c>
      <c r="H50" s="14">
        <v>0</v>
      </c>
      <c r="I50" s="14">
        <v>15</v>
      </c>
      <c r="J50" s="14">
        <v>20</v>
      </c>
      <c r="K50" s="14">
        <v>0</v>
      </c>
      <c r="L50" s="14">
        <v>12</v>
      </c>
      <c r="M50" s="14">
        <v>11</v>
      </c>
      <c r="N50" s="14">
        <v>10</v>
      </c>
      <c r="O50" s="14">
        <v>12</v>
      </c>
    </row>
    <row r="51" spans="2:15" ht="14" customHeight="1" thickTop="1" thickBot="1" x14ac:dyDescent="0.2">
      <c r="B51" s="121">
        <v>5</v>
      </c>
      <c r="C51" s="102" t="str">
        <f t="shared" si="10"/>
        <v>17 h à 19 h</v>
      </c>
      <c r="D51" s="14">
        <v>10</v>
      </c>
      <c r="E51" s="14">
        <v>9</v>
      </c>
      <c r="F51" s="14">
        <v>10</v>
      </c>
      <c r="G51" s="14">
        <v>11</v>
      </c>
      <c r="H51" s="14">
        <v>0</v>
      </c>
      <c r="I51" s="14">
        <v>15</v>
      </c>
      <c r="J51" s="14">
        <v>20</v>
      </c>
      <c r="K51" s="14">
        <v>0</v>
      </c>
      <c r="L51" s="14">
        <v>12</v>
      </c>
      <c r="M51" s="14">
        <v>11</v>
      </c>
      <c r="N51" s="14">
        <v>10</v>
      </c>
      <c r="O51" s="14">
        <v>12</v>
      </c>
    </row>
    <row r="52" spans="2:15" ht="14" customHeight="1" thickTop="1" thickBot="1" x14ac:dyDescent="0.2">
      <c r="B52" s="121">
        <v>6</v>
      </c>
      <c r="C52" s="102" t="str">
        <f t="shared" si="10"/>
        <v>19 h à 23 h</v>
      </c>
      <c r="D52" s="14">
        <v>10</v>
      </c>
      <c r="E52" s="14">
        <v>9</v>
      </c>
      <c r="F52" s="14">
        <v>10</v>
      </c>
      <c r="G52" s="14">
        <v>11</v>
      </c>
      <c r="H52" s="14">
        <v>0</v>
      </c>
      <c r="I52" s="14">
        <v>15</v>
      </c>
      <c r="J52" s="14">
        <v>20</v>
      </c>
      <c r="K52" s="14">
        <v>0</v>
      </c>
      <c r="L52" s="14">
        <v>12</v>
      </c>
      <c r="M52" s="14">
        <v>11</v>
      </c>
      <c r="N52" s="14">
        <v>10</v>
      </c>
      <c r="O52" s="14">
        <v>12</v>
      </c>
    </row>
    <row r="53" spans="2:15" ht="14" customHeight="1" thickTop="1" thickBot="1" x14ac:dyDescent="0.2">
      <c r="B53" s="121">
        <v>7</v>
      </c>
      <c r="C53" s="102" t="str">
        <f t="shared" si="10"/>
        <v>23 h à 6 h</v>
      </c>
      <c r="D53" s="14">
        <v>0</v>
      </c>
      <c r="E53" s="14">
        <v>0</v>
      </c>
      <c r="F53" s="14">
        <v>0</v>
      </c>
      <c r="G53" s="14">
        <v>0</v>
      </c>
      <c r="H53" s="14">
        <v>0</v>
      </c>
      <c r="I53" s="14">
        <v>0</v>
      </c>
      <c r="J53" s="14">
        <v>0</v>
      </c>
      <c r="K53" s="14">
        <v>0</v>
      </c>
      <c r="L53" s="14">
        <v>0</v>
      </c>
      <c r="M53" s="14">
        <v>0</v>
      </c>
      <c r="N53" s="14">
        <v>0</v>
      </c>
      <c r="O53" s="14">
        <v>0</v>
      </c>
    </row>
    <row r="54" spans="2:15" ht="14" customHeight="1" thickTop="1" thickBot="1" x14ac:dyDescent="0.2">
      <c r="B54" s="19"/>
      <c r="C54" s="21" t="str">
        <f t="shared" ref="C54" si="11">+C45</f>
        <v>Total</v>
      </c>
      <c r="D54" s="17">
        <f t="shared" ref="D54:M54" si="12">+D47+D48+D49+D50+D51+D52+D53</f>
        <v>50</v>
      </c>
      <c r="E54" s="17">
        <f t="shared" si="12"/>
        <v>45</v>
      </c>
      <c r="F54" s="17">
        <f t="shared" si="12"/>
        <v>50</v>
      </c>
      <c r="G54" s="24">
        <f t="shared" si="12"/>
        <v>55</v>
      </c>
      <c r="H54" s="17">
        <f t="shared" si="12"/>
        <v>0</v>
      </c>
      <c r="I54" s="17">
        <f t="shared" si="12"/>
        <v>75</v>
      </c>
      <c r="J54" s="24">
        <f t="shared" si="12"/>
        <v>100</v>
      </c>
      <c r="K54" s="17">
        <f t="shared" si="12"/>
        <v>0</v>
      </c>
      <c r="L54" s="17">
        <f t="shared" si="12"/>
        <v>60</v>
      </c>
      <c r="M54" s="24">
        <f t="shared" si="12"/>
        <v>55</v>
      </c>
      <c r="N54" s="17">
        <f>+N47+N48+N49+N50+N51+N52+N53</f>
        <v>50</v>
      </c>
      <c r="O54" s="17">
        <f>+O47+O48+O49+O50+O51+O52+O53</f>
        <v>60</v>
      </c>
    </row>
    <row r="55" spans="2:15" ht="14" customHeight="1" thickTop="1" thickBot="1" x14ac:dyDescent="0.2">
      <c r="B55" s="124" t="s">
        <v>2</v>
      </c>
      <c r="C55" s="125" t="str">
        <f>'Calendrier 2021'!C14</f>
        <v>Samedi</v>
      </c>
      <c r="D55" s="77">
        <f>'Calendrier 2021'!D14</f>
        <v>44198</v>
      </c>
      <c r="E55" s="77" t="str">
        <f>'Calendrier 2021'!E14</f>
        <v>6 fev 2021</v>
      </c>
      <c r="F55" s="77">
        <f>'Calendrier 2021'!F14</f>
        <v>44261</v>
      </c>
      <c r="G55" s="77">
        <f>'Calendrier 2021'!G14</f>
        <v>44289</v>
      </c>
      <c r="H55" s="77">
        <f>'Calendrier 2021'!H14</f>
        <v>44317</v>
      </c>
      <c r="I55" s="77">
        <f>'Calendrier 2021'!I14</f>
        <v>44352</v>
      </c>
      <c r="J55" s="77">
        <f>'Calendrier 2021'!J14</f>
        <v>44380</v>
      </c>
      <c r="K55" s="77" t="s">
        <v>2</v>
      </c>
      <c r="L55" s="77">
        <f>'Calendrier 2021'!L14</f>
        <v>44443</v>
      </c>
      <c r="M55" s="77">
        <f>'Calendrier 2021'!M14</f>
        <v>44471</v>
      </c>
      <c r="N55" s="77">
        <f>'Calendrier 2021'!N14</f>
        <v>44506</v>
      </c>
      <c r="O55" s="78" t="str">
        <f>'Calendrier 2021'!O14</f>
        <v>4 dec 2021</v>
      </c>
    </row>
    <row r="56" spans="2:15" ht="14" customHeight="1" thickTop="1" thickBot="1" x14ac:dyDescent="0.2">
      <c r="B56" s="18">
        <v>1</v>
      </c>
      <c r="C56" s="100" t="str">
        <f t="shared" ref="C56:C62" si="13">C47</f>
        <v>6 h à 9 h 30</v>
      </c>
      <c r="D56" s="12">
        <v>0</v>
      </c>
      <c r="E56" s="12">
        <v>0</v>
      </c>
      <c r="F56" s="12">
        <v>0</v>
      </c>
      <c r="G56" s="12">
        <v>0</v>
      </c>
      <c r="H56" s="12">
        <v>0</v>
      </c>
      <c r="I56" s="12">
        <v>0</v>
      </c>
      <c r="J56" s="12">
        <v>0</v>
      </c>
      <c r="K56" s="12">
        <v>0</v>
      </c>
      <c r="L56" s="12">
        <v>0</v>
      </c>
      <c r="M56" s="12">
        <v>0</v>
      </c>
      <c r="N56" s="12">
        <v>0</v>
      </c>
      <c r="O56" s="12">
        <v>0</v>
      </c>
    </row>
    <row r="57" spans="2:15" ht="14" customHeight="1" thickTop="1" thickBot="1" x14ac:dyDescent="0.2">
      <c r="B57" s="18">
        <v>2</v>
      </c>
      <c r="C57" s="102" t="str">
        <f t="shared" si="13"/>
        <v>9 h 30 à 11 h 30</v>
      </c>
      <c r="D57" s="14">
        <v>10</v>
      </c>
      <c r="E57" s="14">
        <v>9</v>
      </c>
      <c r="F57" s="14">
        <v>10</v>
      </c>
      <c r="G57" s="22">
        <v>11</v>
      </c>
      <c r="H57" s="14">
        <v>12</v>
      </c>
      <c r="I57" s="14">
        <v>15</v>
      </c>
      <c r="J57" s="14">
        <v>20</v>
      </c>
      <c r="K57" s="14">
        <v>0</v>
      </c>
      <c r="L57" s="14">
        <v>12</v>
      </c>
      <c r="M57" s="14">
        <v>11</v>
      </c>
      <c r="N57" s="14">
        <v>10</v>
      </c>
      <c r="O57" s="14">
        <v>12</v>
      </c>
    </row>
    <row r="58" spans="2:15" ht="14" customHeight="1" thickTop="1" thickBot="1" x14ac:dyDescent="0.2">
      <c r="B58" s="18">
        <v>3</v>
      </c>
      <c r="C58" s="102" t="str">
        <f t="shared" si="13"/>
        <v>11 h 30 à 14 h 30</v>
      </c>
      <c r="D58" s="14">
        <v>10</v>
      </c>
      <c r="E58" s="14">
        <v>9</v>
      </c>
      <c r="F58" s="14">
        <v>10</v>
      </c>
      <c r="G58" s="22">
        <v>11</v>
      </c>
      <c r="H58" s="14">
        <v>12</v>
      </c>
      <c r="I58" s="14">
        <v>15</v>
      </c>
      <c r="J58" s="14">
        <v>20</v>
      </c>
      <c r="K58" s="14">
        <v>0</v>
      </c>
      <c r="L58" s="14">
        <v>12</v>
      </c>
      <c r="M58" s="14">
        <v>11</v>
      </c>
      <c r="N58" s="14">
        <v>10</v>
      </c>
      <c r="O58" s="14">
        <v>12</v>
      </c>
    </row>
    <row r="59" spans="2:15" ht="14" customHeight="1" thickTop="1" thickBot="1" x14ac:dyDescent="0.2">
      <c r="B59" s="18">
        <v>4</v>
      </c>
      <c r="C59" s="102" t="str">
        <f t="shared" si="13"/>
        <v>14 h 30 à 17 h</v>
      </c>
      <c r="D59" s="14">
        <v>10</v>
      </c>
      <c r="E59" s="14">
        <v>9</v>
      </c>
      <c r="F59" s="14">
        <v>10</v>
      </c>
      <c r="G59" s="22">
        <v>11</v>
      </c>
      <c r="H59" s="14">
        <v>12</v>
      </c>
      <c r="I59" s="14">
        <v>15</v>
      </c>
      <c r="J59" s="14">
        <v>20</v>
      </c>
      <c r="K59" s="14">
        <v>0</v>
      </c>
      <c r="L59" s="14">
        <v>12</v>
      </c>
      <c r="M59" s="14">
        <v>11</v>
      </c>
      <c r="N59" s="14">
        <v>10</v>
      </c>
      <c r="O59" s="14">
        <v>12</v>
      </c>
    </row>
    <row r="60" spans="2:15" ht="14" customHeight="1" thickTop="1" thickBot="1" x14ac:dyDescent="0.2">
      <c r="B60" s="18">
        <v>5</v>
      </c>
      <c r="C60" s="102" t="str">
        <f t="shared" si="13"/>
        <v>17 h à 19 h</v>
      </c>
      <c r="D60" s="14">
        <v>10</v>
      </c>
      <c r="E60" s="14">
        <v>9</v>
      </c>
      <c r="F60" s="14">
        <v>10</v>
      </c>
      <c r="G60" s="22">
        <v>11</v>
      </c>
      <c r="H60" s="14">
        <v>12</v>
      </c>
      <c r="I60" s="14">
        <v>15</v>
      </c>
      <c r="J60" s="14">
        <v>20</v>
      </c>
      <c r="K60" s="14">
        <v>0</v>
      </c>
      <c r="L60" s="14">
        <v>12</v>
      </c>
      <c r="M60" s="14">
        <v>11</v>
      </c>
      <c r="N60" s="14">
        <v>10</v>
      </c>
      <c r="O60" s="14">
        <v>12</v>
      </c>
    </row>
    <row r="61" spans="2:15" ht="14" customHeight="1" thickTop="1" thickBot="1" x14ac:dyDescent="0.2">
      <c r="B61" s="18">
        <v>6</v>
      </c>
      <c r="C61" s="102" t="str">
        <f t="shared" si="13"/>
        <v>19 h à 23 h</v>
      </c>
      <c r="D61" s="14">
        <v>10</v>
      </c>
      <c r="E61" s="14">
        <v>9</v>
      </c>
      <c r="F61" s="14">
        <v>10</v>
      </c>
      <c r="G61" s="22">
        <v>11</v>
      </c>
      <c r="H61" s="14">
        <v>12</v>
      </c>
      <c r="I61" s="14">
        <v>15</v>
      </c>
      <c r="J61" s="14">
        <v>20</v>
      </c>
      <c r="K61" s="14">
        <v>0</v>
      </c>
      <c r="L61" s="14">
        <v>12</v>
      </c>
      <c r="M61" s="14">
        <v>11</v>
      </c>
      <c r="N61" s="14">
        <v>10</v>
      </c>
      <c r="O61" s="14">
        <v>12</v>
      </c>
    </row>
    <row r="62" spans="2:15" ht="14" customHeight="1" thickTop="1" thickBot="1" x14ac:dyDescent="0.2">
      <c r="B62" s="18">
        <v>7</v>
      </c>
      <c r="C62" s="102" t="str">
        <f t="shared" si="13"/>
        <v>23 h à 6 h</v>
      </c>
      <c r="D62" s="14">
        <v>0</v>
      </c>
      <c r="E62" s="14">
        <v>0</v>
      </c>
      <c r="F62" s="14">
        <v>0</v>
      </c>
      <c r="G62" s="22">
        <v>0</v>
      </c>
      <c r="H62" s="14">
        <v>0</v>
      </c>
      <c r="I62" s="14">
        <v>0</v>
      </c>
      <c r="J62" s="14">
        <v>0</v>
      </c>
      <c r="K62" s="14">
        <v>0</v>
      </c>
      <c r="L62" s="14">
        <v>0</v>
      </c>
      <c r="M62" s="14">
        <v>0</v>
      </c>
      <c r="N62" s="14">
        <v>0</v>
      </c>
      <c r="O62" s="14">
        <v>0</v>
      </c>
    </row>
    <row r="63" spans="2:15" ht="14" customHeight="1" thickTop="1" thickBot="1" x14ac:dyDescent="0.2">
      <c r="B63" s="19"/>
      <c r="C63" s="298" t="str">
        <f t="shared" ref="C63" si="14">+C54</f>
        <v>Total</v>
      </c>
      <c r="D63" s="17">
        <f t="shared" ref="D63:M63" si="15">+D56+D57+D58+D59+D60+D61+D62</f>
        <v>50</v>
      </c>
      <c r="E63" s="17">
        <f t="shared" si="15"/>
        <v>45</v>
      </c>
      <c r="F63" s="17">
        <f t="shared" si="15"/>
        <v>50</v>
      </c>
      <c r="G63" s="17">
        <f t="shared" si="15"/>
        <v>55</v>
      </c>
      <c r="H63" s="17">
        <f t="shared" si="15"/>
        <v>60</v>
      </c>
      <c r="I63" s="17">
        <f t="shared" si="15"/>
        <v>75</v>
      </c>
      <c r="J63" s="17">
        <f t="shared" si="15"/>
        <v>100</v>
      </c>
      <c r="K63" s="17">
        <f t="shared" si="15"/>
        <v>0</v>
      </c>
      <c r="L63" s="17">
        <f t="shared" si="15"/>
        <v>60</v>
      </c>
      <c r="M63" s="24">
        <f t="shared" si="15"/>
        <v>55</v>
      </c>
      <c r="N63" s="17">
        <f>+N56+N57+N58+N59+N60+N61+N62</f>
        <v>50</v>
      </c>
      <c r="O63" s="17">
        <f>+O56+O57+O58+O59+O60+O61+O62</f>
        <v>60</v>
      </c>
    </row>
    <row r="64" spans="2:15" ht="14" customHeight="1" thickTop="1" thickBot="1" x14ac:dyDescent="0.2">
      <c r="B64" s="124" t="s">
        <v>2</v>
      </c>
      <c r="C64" s="299" t="str">
        <f>'Calendrier 2021'!C15</f>
        <v>Dimanche</v>
      </c>
      <c r="D64" s="77">
        <f>+'Calendrier 2021'!D15</f>
        <v>44199</v>
      </c>
      <c r="E64" s="77" t="str">
        <f>'Calendrier 2021'!E15</f>
        <v>7 fev 2021</v>
      </c>
      <c r="F64" s="77">
        <f>+'Calendrier 2021'!F15</f>
        <v>44262</v>
      </c>
      <c r="G64" s="77">
        <f>'Calendrier 2021'!G15</f>
        <v>44290</v>
      </c>
      <c r="H64" s="77">
        <f>+'Calendrier 2021'!H15</f>
        <v>44318</v>
      </c>
      <c r="I64" s="77">
        <f>+'Calendrier 2021'!I15</f>
        <v>44353</v>
      </c>
      <c r="J64" s="77">
        <f>+'Calendrier 2021'!J15</f>
        <v>44381</v>
      </c>
      <c r="K64" s="77">
        <f>+'Calendrier 2021'!K15</f>
        <v>44409</v>
      </c>
      <c r="L64" s="77">
        <f>+'Calendrier 2021'!L15</f>
        <v>44444</v>
      </c>
      <c r="M64" s="77">
        <f>+'Calendrier 2021'!M15</f>
        <v>44472</v>
      </c>
      <c r="N64" s="77">
        <f>+'Calendrier 2021'!N15</f>
        <v>44507</v>
      </c>
      <c r="O64" s="78" t="str">
        <f>+'Calendrier 2021'!O15</f>
        <v>5 dec 2021</v>
      </c>
    </row>
    <row r="65" spans="2:15" ht="14" customHeight="1" thickTop="1" thickBot="1" x14ac:dyDescent="0.2">
      <c r="B65" s="121">
        <v>1</v>
      </c>
      <c r="C65" s="100" t="str">
        <f t="shared" ref="C65:C71" si="16">C56</f>
        <v>6 h à 9 h 30</v>
      </c>
      <c r="D65" s="12">
        <v>0</v>
      </c>
      <c r="E65" s="12">
        <v>0</v>
      </c>
      <c r="F65" s="12">
        <v>0</v>
      </c>
      <c r="G65" s="12">
        <v>0</v>
      </c>
      <c r="H65" s="12">
        <v>0</v>
      </c>
      <c r="I65" s="12">
        <v>0</v>
      </c>
      <c r="J65" s="12">
        <v>0</v>
      </c>
      <c r="K65" s="12">
        <v>0</v>
      </c>
      <c r="L65" s="12">
        <v>0</v>
      </c>
      <c r="M65" s="12">
        <v>0</v>
      </c>
      <c r="N65" s="12">
        <v>0</v>
      </c>
      <c r="O65" s="12">
        <v>0</v>
      </c>
    </row>
    <row r="66" spans="2:15" ht="14" customHeight="1" thickTop="1" thickBot="1" x14ac:dyDescent="0.2">
      <c r="B66" s="18">
        <v>2</v>
      </c>
      <c r="C66" s="102" t="str">
        <f t="shared" si="16"/>
        <v>9 h 30 à 11 h 30</v>
      </c>
      <c r="D66" s="14">
        <v>10</v>
      </c>
      <c r="E66" s="14">
        <v>9</v>
      </c>
      <c r="F66" s="14">
        <v>10</v>
      </c>
      <c r="G66" s="22">
        <v>11</v>
      </c>
      <c r="H66" s="14">
        <v>12</v>
      </c>
      <c r="I66" s="14">
        <v>15</v>
      </c>
      <c r="J66" s="22">
        <v>20</v>
      </c>
      <c r="K66" s="14">
        <v>18</v>
      </c>
      <c r="L66" s="14">
        <v>12</v>
      </c>
      <c r="M66" s="14">
        <v>11</v>
      </c>
      <c r="N66" s="14">
        <v>10</v>
      </c>
      <c r="O66" s="14">
        <v>12</v>
      </c>
    </row>
    <row r="67" spans="2:15" ht="14" customHeight="1" thickTop="1" thickBot="1" x14ac:dyDescent="0.2">
      <c r="B67" s="18">
        <v>3</v>
      </c>
      <c r="C67" s="102" t="str">
        <f t="shared" si="16"/>
        <v>11 h 30 à 14 h 30</v>
      </c>
      <c r="D67" s="14">
        <v>10</v>
      </c>
      <c r="E67" s="14">
        <v>9</v>
      </c>
      <c r="F67" s="14">
        <v>10</v>
      </c>
      <c r="G67" s="22">
        <v>11</v>
      </c>
      <c r="H67" s="14">
        <v>12</v>
      </c>
      <c r="I67" s="14">
        <v>15</v>
      </c>
      <c r="J67" s="22">
        <v>20</v>
      </c>
      <c r="K67" s="14">
        <v>18</v>
      </c>
      <c r="L67" s="14">
        <v>12</v>
      </c>
      <c r="M67" s="14">
        <v>11</v>
      </c>
      <c r="N67" s="14">
        <v>10</v>
      </c>
      <c r="O67" s="14">
        <v>12</v>
      </c>
    </row>
    <row r="68" spans="2:15" ht="14" customHeight="1" thickTop="1" thickBot="1" x14ac:dyDescent="0.2">
      <c r="B68" s="18">
        <v>4</v>
      </c>
      <c r="C68" s="102" t="str">
        <f t="shared" si="16"/>
        <v>14 h 30 à 17 h</v>
      </c>
      <c r="D68" s="14">
        <v>10</v>
      </c>
      <c r="E68" s="14">
        <v>9</v>
      </c>
      <c r="F68" s="14">
        <v>10</v>
      </c>
      <c r="G68" s="22">
        <v>11</v>
      </c>
      <c r="H68" s="14">
        <v>12</v>
      </c>
      <c r="I68" s="14">
        <v>15</v>
      </c>
      <c r="J68" s="22">
        <v>20</v>
      </c>
      <c r="K68" s="14">
        <v>18</v>
      </c>
      <c r="L68" s="14">
        <v>12</v>
      </c>
      <c r="M68" s="14">
        <v>11</v>
      </c>
      <c r="N68" s="14">
        <v>10</v>
      </c>
      <c r="O68" s="14">
        <v>12</v>
      </c>
    </row>
    <row r="69" spans="2:15" ht="14" customHeight="1" thickTop="1" thickBot="1" x14ac:dyDescent="0.2">
      <c r="B69" s="18">
        <v>5</v>
      </c>
      <c r="C69" s="102" t="str">
        <f t="shared" si="16"/>
        <v>17 h à 19 h</v>
      </c>
      <c r="D69" s="14">
        <v>10</v>
      </c>
      <c r="E69" s="14">
        <v>9</v>
      </c>
      <c r="F69" s="14">
        <v>10</v>
      </c>
      <c r="G69" s="22">
        <v>11</v>
      </c>
      <c r="H69" s="14">
        <v>12</v>
      </c>
      <c r="I69" s="14">
        <v>15</v>
      </c>
      <c r="J69" s="22">
        <v>20</v>
      </c>
      <c r="K69" s="14">
        <v>18</v>
      </c>
      <c r="L69" s="14">
        <v>12</v>
      </c>
      <c r="M69" s="14">
        <v>11</v>
      </c>
      <c r="N69" s="14">
        <v>10</v>
      </c>
      <c r="O69" s="14">
        <v>12</v>
      </c>
    </row>
    <row r="70" spans="2:15" ht="14" customHeight="1" thickTop="1" thickBot="1" x14ac:dyDescent="0.2">
      <c r="B70" s="18">
        <v>6</v>
      </c>
      <c r="C70" s="102" t="str">
        <f t="shared" si="16"/>
        <v>19 h à 23 h</v>
      </c>
      <c r="D70" s="14">
        <v>10</v>
      </c>
      <c r="E70" s="14">
        <v>9</v>
      </c>
      <c r="F70" s="14">
        <v>10</v>
      </c>
      <c r="G70" s="22">
        <v>11</v>
      </c>
      <c r="H70" s="14">
        <v>12</v>
      </c>
      <c r="I70" s="14">
        <v>15</v>
      </c>
      <c r="J70" s="22">
        <v>20</v>
      </c>
      <c r="K70" s="14">
        <v>18</v>
      </c>
      <c r="L70" s="14">
        <v>12</v>
      </c>
      <c r="M70" s="14">
        <v>11</v>
      </c>
      <c r="N70" s="14">
        <v>10</v>
      </c>
      <c r="O70" s="14">
        <v>12</v>
      </c>
    </row>
    <row r="71" spans="2:15" ht="14" customHeight="1" thickTop="1" thickBot="1" x14ac:dyDescent="0.2">
      <c r="B71" s="18">
        <v>7</v>
      </c>
      <c r="C71" s="102" t="str">
        <f t="shared" si="16"/>
        <v>23 h à 6 h</v>
      </c>
      <c r="D71" s="14">
        <v>0</v>
      </c>
      <c r="E71" s="14">
        <v>0</v>
      </c>
      <c r="F71" s="14">
        <v>0</v>
      </c>
      <c r="G71" s="22">
        <v>0</v>
      </c>
      <c r="H71" s="14">
        <v>0</v>
      </c>
      <c r="I71" s="14">
        <v>0</v>
      </c>
      <c r="J71" s="22">
        <v>0</v>
      </c>
      <c r="K71" s="14">
        <v>0</v>
      </c>
      <c r="L71" s="14">
        <v>0</v>
      </c>
      <c r="M71" s="14">
        <v>0</v>
      </c>
      <c r="N71" s="14">
        <v>0</v>
      </c>
      <c r="O71" s="14">
        <v>0</v>
      </c>
    </row>
    <row r="72" spans="2:15" ht="14" customHeight="1" thickTop="1" thickBot="1" x14ac:dyDescent="0.2">
      <c r="B72" s="18"/>
      <c r="C72" s="16" t="str">
        <f t="shared" ref="C72" si="17">+C63</f>
        <v>Total</v>
      </c>
      <c r="D72" s="17">
        <f t="shared" ref="D72:O72" si="18">+D65+D66+D67+D68+D69+D70+D71</f>
        <v>50</v>
      </c>
      <c r="E72" s="17">
        <f t="shared" si="18"/>
        <v>45</v>
      </c>
      <c r="F72" s="17">
        <f t="shared" si="18"/>
        <v>50</v>
      </c>
      <c r="G72" s="17">
        <f t="shared" si="18"/>
        <v>55</v>
      </c>
      <c r="H72" s="17">
        <f t="shared" si="18"/>
        <v>60</v>
      </c>
      <c r="I72" s="17">
        <f t="shared" si="18"/>
        <v>75</v>
      </c>
      <c r="J72" s="17">
        <f t="shared" si="18"/>
        <v>100</v>
      </c>
      <c r="K72" s="17">
        <f t="shared" si="18"/>
        <v>90</v>
      </c>
      <c r="L72" s="17">
        <f t="shared" si="18"/>
        <v>60</v>
      </c>
      <c r="M72" s="17">
        <f t="shared" si="18"/>
        <v>55</v>
      </c>
      <c r="N72" s="17">
        <f t="shared" si="18"/>
        <v>50</v>
      </c>
      <c r="O72" s="17">
        <f t="shared" si="18"/>
        <v>60</v>
      </c>
    </row>
    <row r="73" spans="2:15" ht="14" customHeight="1" thickTop="1" thickBot="1" x14ac:dyDescent="0.2">
      <c r="B73" s="793" t="s">
        <v>17</v>
      </c>
      <c r="C73" s="794"/>
      <c r="D73" s="794"/>
      <c r="E73" s="794"/>
      <c r="F73" s="794"/>
      <c r="G73" s="794"/>
      <c r="H73" s="794"/>
      <c r="I73" s="794"/>
      <c r="J73" s="794"/>
      <c r="K73" s="794"/>
      <c r="L73" s="794"/>
      <c r="M73" s="794"/>
      <c r="N73" s="794"/>
      <c r="O73" s="795"/>
    </row>
    <row r="74" spans="2:15" ht="14" customHeight="1" thickTop="1" thickBot="1" x14ac:dyDescent="0.2">
      <c r="B74" s="128">
        <f>+'Calendrier 2021'!B16</f>
        <v>2</v>
      </c>
      <c r="C74" s="129" t="str">
        <f>+'Calendrier 2021'!C16</f>
        <v>Lundi</v>
      </c>
      <c r="D74" s="130">
        <f>+'Calendrier 2021'!D16</f>
        <v>44200</v>
      </c>
      <c r="E74" s="130" t="str">
        <f>+'Calendrier 2021'!E16</f>
        <v>8 fev 2021</v>
      </c>
      <c r="F74" s="130">
        <f>+'Calendrier 2021'!F16</f>
        <v>44263</v>
      </c>
      <c r="G74" s="130">
        <f>+'Calendrier 2021'!G16</f>
        <v>44291</v>
      </c>
      <c r="H74" s="130">
        <f>+'Calendrier 2021'!H16</f>
        <v>44319</v>
      </c>
      <c r="I74" s="130">
        <f>+'Calendrier 2021'!I16</f>
        <v>44354</v>
      </c>
      <c r="J74" s="130">
        <f>+'Calendrier 2021'!J16</f>
        <v>44382</v>
      </c>
      <c r="K74" s="130">
        <f>+'Calendrier 2021'!K16</f>
        <v>44410</v>
      </c>
      <c r="L74" s="130">
        <f>+'Calendrier 2021'!L16</f>
        <v>44445</v>
      </c>
      <c r="M74" s="130">
        <f>+'Calendrier 2021'!M16</f>
        <v>44473</v>
      </c>
      <c r="N74" s="130">
        <f>+'Calendrier 2021'!N16</f>
        <v>44508</v>
      </c>
      <c r="O74" s="131" t="str">
        <f>+'Calendrier 2021'!O16</f>
        <v>6 dec 2021</v>
      </c>
    </row>
    <row r="75" spans="2:15" ht="14" customHeight="1" thickTop="1" x14ac:dyDescent="0.15">
      <c r="B75" s="11">
        <v>1</v>
      </c>
      <c r="C75" s="100" t="str">
        <f t="shared" ref="C75:C81" si="19">C65</f>
        <v>6 h à 9 h 30</v>
      </c>
      <c r="D75" s="12">
        <v>0</v>
      </c>
      <c r="E75" s="12">
        <v>0</v>
      </c>
      <c r="F75" s="12">
        <v>0</v>
      </c>
      <c r="G75" s="12">
        <v>0</v>
      </c>
      <c r="H75" s="12">
        <v>0</v>
      </c>
      <c r="I75" s="12">
        <v>0</v>
      </c>
      <c r="J75" s="12">
        <v>0</v>
      </c>
      <c r="K75" s="12">
        <v>0</v>
      </c>
      <c r="L75" s="12">
        <v>0</v>
      </c>
      <c r="M75" s="12">
        <v>0</v>
      </c>
      <c r="N75" s="12">
        <v>0</v>
      </c>
      <c r="O75" s="12">
        <v>0</v>
      </c>
    </row>
    <row r="76" spans="2:15" ht="14" customHeight="1" x14ac:dyDescent="0.15">
      <c r="B76" s="13">
        <v>2</v>
      </c>
      <c r="C76" s="102" t="str">
        <f t="shared" si="19"/>
        <v>9 h 30 à 11 h 30</v>
      </c>
      <c r="D76" s="14">
        <v>10</v>
      </c>
      <c r="E76" s="14">
        <v>9</v>
      </c>
      <c r="F76" s="14">
        <v>10</v>
      </c>
      <c r="G76" s="22">
        <v>11</v>
      </c>
      <c r="H76" s="14">
        <v>12</v>
      </c>
      <c r="I76" s="14">
        <v>15</v>
      </c>
      <c r="J76" s="22">
        <v>20</v>
      </c>
      <c r="K76" s="14">
        <v>18</v>
      </c>
      <c r="L76" s="14">
        <v>12</v>
      </c>
      <c r="M76" s="22">
        <v>11</v>
      </c>
      <c r="N76" s="14">
        <v>10</v>
      </c>
      <c r="O76" s="14">
        <v>12</v>
      </c>
    </row>
    <row r="77" spans="2:15" ht="14" customHeight="1" x14ac:dyDescent="0.15">
      <c r="B77" s="13">
        <v>3</v>
      </c>
      <c r="C77" s="102" t="str">
        <f t="shared" si="19"/>
        <v>11 h 30 à 14 h 30</v>
      </c>
      <c r="D77" s="14">
        <v>10</v>
      </c>
      <c r="E77" s="14">
        <v>9</v>
      </c>
      <c r="F77" s="14">
        <v>10</v>
      </c>
      <c r="G77" s="22">
        <v>11</v>
      </c>
      <c r="H77" s="14">
        <v>12</v>
      </c>
      <c r="I77" s="14">
        <v>15</v>
      </c>
      <c r="J77" s="22">
        <v>20</v>
      </c>
      <c r="K77" s="14">
        <v>18</v>
      </c>
      <c r="L77" s="14">
        <v>12</v>
      </c>
      <c r="M77" s="22">
        <v>11</v>
      </c>
      <c r="N77" s="14">
        <v>10</v>
      </c>
      <c r="O77" s="14">
        <v>12</v>
      </c>
    </row>
    <row r="78" spans="2:15" ht="14" customHeight="1" x14ac:dyDescent="0.15">
      <c r="B78" s="13">
        <v>4</v>
      </c>
      <c r="C78" s="102" t="str">
        <f t="shared" si="19"/>
        <v>14 h 30 à 17 h</v>
      </c>
      <c r="D78" s="14">
        <v>10</v>
      </c>
      <c r="E78" s="14">
        <v>9</v>
      </c>
      <c r="F78" s="14">
        <v>10</v>
      </c>
      <c r="G78" s="22">
        <v>11</v>
      </c>
      <c r="H78" s="14">
        <v>12</v>
      </c>
      <c r="I78" s="14">
        <v>15</v>
      </c>
      <c r="J78" s="22">
        <v>20</v>
      </c>
      <c r="K78" s="14">
        <v>18</v>
      </c>
      <c r="L78" s="14">
        <v>12</v>
      </c>
      <c r="M78" s="22">
        <v>11</v>
      </c>
      <c r="N78" s="14">
        <v>10</v>
      </c>
      <c r="O78" s="14">
        <v>12</v>
      </c>
    </row>
    <row r="79" spans="2:15" ht="14" customHeight="1" x14ac:dyDescent="0.15">
      <c r="B79" s="13">
        <v>5</v>
      </c>
      <c r="C79" s="102" t="str">
        <f t="shared" si="19"/>
        <v>17 h à 19 h</v>
      </c>
      <c r="D79" s="14">
        <v>10</v>
      </c>
      <c r="E79" s="14">
        <v>9</v>
      </c>
      <c r="F79" s="14">
        <v>10</v>
      </c>
      <c r="G79" s="22">
        <v>11</v>
      </c>
      <c r="H79" s="14">
        <v>12</v>
      </c>
      <c r="I79" s="14">
        <v>15</v>
      </c>
      <c r="J79" s="22">
        <v>20</v>
      </c>
      <c r="K79" s="14">
        <v>18</v>
      </c>
      <c r="L79" s="14">
        <v>12</v>
      </c>
      <c r="M79" s="22">
        <v>11</v>
      </c>
      <c r="N79" s="14">
        <v>10</v>
      </c>
      <c r="O79" s="14">
        <v>12</v>
      </c>
    </row>
    <row r="80" spans="2:15" ht="14" customHeight="1" x14ac:dyDescent="0.15">
      <c r="B80" s="13">
        <v>6</v>
      </c>
      <c r="C80" s="102" t="str">
        <f t="shared" si="19"/>
        <v>19 h à 23 h</v>
      </c>
      <c r="D80" s="14">
        <v>10</v>
      </c>
      <c r="E80" s="14">
        <v>9</v>
      </c>
      <c r="F80" s="14">
        <v>10</v>
      </c>
      <c r="G80" s="22">
        <v>11</v>
      </c>
      <c r="H80" s="14">
        <v>12</v>
      </c>
      <c r="I80" s="14">
        <v>15</v>
      </c>
      <c r="J80" s="22">
        <v>20</v>
      </c>
      <c r="K80" s="14">
        <v>18</v>
      </c>
      <c r="L80" s="14">
        <v>12</v>
      </c>
      <c r="M80" s="22">
        <v>11</v>
      </c>
      <c r="N80" s="14">
        <v>10</v>
      </c>
      <c r="O80" s="14">
        <v>12</v>
      </c>
    </row>
    <row r="81" spans="2:15" ht="14" customHeight="1" x14ac:dyDescent="0.15">
      <c r="B81" s="13">
        <v>7</v>
      </c>
      <c r="C81" s="102" t="str">
        <f t="shared" si="19"/>
        <v>23 h à 6 h</v>
      </c>
      <c r="D81" s="14">
        <v>0</v>
      </c>
      <c r="E81" s="14">
        <v>0</v>
      </c>
      <c r="F81" s="14">
        <v>0</v>
      </c>
      <c r="G81" s="22">
        <v>0</v>
      </c>
      <c r="H81" s="14">
        <v>0</v>
      </c>
      <c r="I81" s="14">
        <v>0</v>
      </c>
      <c r="J81" s="22">
        <v>0</v>
      </c>
      <c r="K81" s="14">
        <v>0</v>
      </c>
      <c r="L81" s="14">
        <v>0</v>
      </c>
      <c r="M81" s="22">
        <v>0</v>
      </c>
      <c r="N81" s="14">
        <v>0</v>
      </c>
      <c r="O81" s="14">
        <v>0</v>
      </c>
    </row>
    <row r="82" spans="2:15" ht="14" customHeight="1" thickBot="1" x14ac:dyDescent="0.2">
      <c r="B82" s="15"/>
      <c r="C82" s="301" t="str">
        <f>+C72</f>
        <v>Total</v>
      </c>
      <c r="D82" s="17">
        <f t="shared" ref="D82:O82" si="20">+D75+D76+D77+D78+D79+D80+D81</f>
        <v>50</v>
      </c>
      <c r="E82" s="17">
        <f t="shared" si="20"/>
        <v>45</v>
      </c>
      <c r="F82" s="17">
        <f t="shared" si="20"/>
        <v>50</v>
      </c>
      <c r="G82" s="17">
        <f t="shared" si="20"/>
        <v>55</v>
      </c>
      <c r="H82" s="17">
        <f t="shared" si="20"/>
        <v>60</v>
      </c>
      <c r="I82" s="17">
        <f t="shared" si="20"/>
        <v>75</v>
      </c>
      <c r="J82" s="17">
        <f t="shared" si="20"/>
        <v>100</v>
      </c>
      <c r="K82" s="17">
        <f t="shared" si="20"/>
        <v>90</v>
      </c>
      <c r="L82" s="17">
        <f t="shared" si="20"/>
        <v>60</v>
      </c>
      <c r="M82" s="17">
        <f t="shared" si="20"/>
        <v>55</v>
      </c>
      <c r="N82" s="17">
        <f t="shared" si="20"/>
        <v>50</v>
      </c>
      <c r="O82" s="17">
        <f t="shared" si="20"/>
        <v>60</v>
      </c>
    </row>
    <row r="83" spans="2:15" ht="14" customHeight="1" thickTop="1" thickBot="1" x14ac:dyDescent="0.2">
      <c r="B83" s="124" t="s">
        <v>2</v>
      </c>
      <c r="C83" s="299" t="str">
        <f>+'Calendrier 2021'!C24</f>
        <v>Mardi</v>
      </c>
      <c r="D83" s="77">
        <f>+'Calendrier 2021'!D17</f>
        <v>44201</v>
      </c>
      <c r="E83" s="77" t="str">
        <f>+'Calendrier 2021'!E17</f>
        <v>9 fev 2021</v>
      </c>
      <c r="F83" s="77">
        <f>+'Calendrier 2021'!F17</f>
        <v>44264</v>
      </c>
      <c r="G83" s="77">
        <f>+'Calendrier 2021'!G17</f>
        <v>44292</v>
      </c>
      <c r="H83" s="77">
        <f>+'Calendrier 2021'!H17</f>
        <v>44320</v>
      </c>
      <c r="I83" s="77">
        <f>+'Calendrier 2021'!I17</f>
        <v>44355</v>
      </c>
      <c r="J83" s="77">
        <f>+'Calendrier 2021'!J17</f>
        <v>44383</v>
      </c>
      <c r="K83" s="77">
        <f>+'Calendrier 2021'!K17</f>
        <v>44411</v>
      </c>
      <c r="L83" s="77">
        <f>+'Calendrier 2021'!L17</f>
        <v>44446</v>
      </c>
      <c r="M83" s="77">
        <f>+'Calendrier 2021'!M17</f>
        <v>44474</v>
      </c>
      <c r="N83" s="77">
        <f>+'Calendrier 2021'!N17</f>
        <v>44509</v>
      </c>
      <c r="O83" s="78" t="str">
        <f>+'Calendrier 2021'!O17</f>
        <v>7 dec 2021</v>
      </c>
    </row>
    <row r="84" spans="2:15" ht="14" customHeight="1" thickTop="1" thickBot="1" x14ac:dyDescent="0.2">
      <c r="B84" s="18">
        <v>1</v>
      </c>
      <c r="C84" s="100" t="str">
        <f t="shared" ref="C84:C90" si="21">C75</f>
        <v>6 h à 9 h 30</v>
      </c>
      <c r="D84" s="12">
        <v>0</v>
      </c>
      <c r="E84" s="12">
        <v>0</v>
      </c>
      <c r="F84" s="12">
        <v>0</v>
      </c>
      <c r="G84" s="12">
        <v>0</v>
      </c>
      <c r="H84" s="12">
        <v>0</v>
      </c>
      <c r="I84" s="12">
        <v>0</v>
      </c>
      <c r="J84" s="12">
        <v>0</v>
      </c>
      <c r="K84" s="12">
        <v>0</v>
      </c>
      <c r="L84" s="12">
        <v>0</v>
      </c>
      <c r="M84" s="12">
        <v>0</v>
      </c>
      <c r="N84" s="12">
        <v>0</v>
      </c>
      <c r="O84" s="12">
        <v>0</v>
      </c>
    </row>
    <row r="85" spans="2:15" ht="14" customHeight="1" thickTop="1" thickBot="1" x14ac:dyDescent="0.2">
      <c r="B85" s="121">
        <v>2</v>
      </c>
      <c r="C85" s="102" t="str">
        <f t="shared" si="21"/>
        <v>9 h 30 à 11 h 30</v>
      </c>
      <c r="D85" s="14">
        <v>10</v>
      </c>
      <c r="E85" s="14">
        <v>9</v>
      </c>
      <c r="F85" s="14">
        <v>10</v>
      </c>
      <c r="G85" s="22">
        <v>11</v>
      </c>
      <c r="H85" s="14">
        <v>12</v>
      </c>
      <c r="I85" s="14">
        <v>15</v>
      </c>
      <c r="J85" s="22">
        <v>20</v>
      </c>
      <c r="K85" s="14">
        <v>18</v>
      </c>
      <c r="L85" s="14">
        <v>12</v>
      </c>
      <c r="M85" s="22">
        <v>11</v>
      </c>
      <c r="N85" s="14">
        <v>10</v>
      </c>
      <c r="O85" s="14">
        <v>12</v>
      </c>
    </row>
    <row r="86" spans="2:15" ht="14" customHeight="1" thickTop="1" thickBot="1" x14ac:dyDescent="0.2">
      <c r="B86" s="121">
        <v>3</v>
      </c>
      <c r="C86" s="102" t="str">
        <f t="shared" si="21"/>
        <v>11 h 30 à 14 h 30</v>
      </c>
      <c r="D86" s="14">
        <v>10</v>
      </c>
      <c r="E86" s="14">
        <v>9</v>
      </c>
      <c r="F86" s="14">
        <v>10</v>
      </c>
      <c r="G86" s="22">
        <v>11</v>
      </c>
      <c r="H86" s="14">
        <v>12</v>
      </c>
      <c r="I86" s="14">
        <v>15</v>
      </c>
      <c r="J86" s="22">
        <v>20</v>
      </c>
      <c r="K86" s="14">
        <v>18</v>
      </c>
      <c r="L86" s="14">
        <v>12</v>
      </c>
      <c r="M86" s="22">
        <v>11</v>
      </c>
      <c r="N86" s="14">
        <v>10</v>
      </c>
      <c r="O86" s="14">
        <v>12</v>
      </c>
    </row>
    <row r="87" spans="2:15" ht="14" customHeight="1" thickTop="1" thickBot="1" x14ac:dyDescent="0.2">
      <c r="B87" s="121">
        <v>4</v>
      </c>
      <c r="C87" s="102" t="str">
        <f t="shared" si="21"/>
        <v>14 h 30 à 17 h</v>
      </c>
      <c r="D87" s="14">
        <v>10</v>
      </c>
      <c r="E87" s="14">
        <v>9</v>
      </c>
      <c r="F87" s="14">
        <v>10</v>
      </c>
      <c r="G87" s="22">
        <v>11</v>
      </c>
      <c r="H87" s="14">
        <v>12</v>
      </c>
      <c r="I87" s="14">
        <v>15</v>
      </c>
      <c r="J87" s="22">
        <v>20</v>
      </c>
      <c r="K87" s="14">
        <v>18</v>
      </c>
      <c r="L87" s="14">
        <v>12</v>
      </c>
      <c r="M87" s="22">
        <v>11</v>
      </c>
      <c r="N87" s="14">
        <v>10</v>
      </c>
      <c r="O87" s="14">
        <v>12</v>
      </c>
    </row>
    <row r="88" spans="2:15" ht="14" customHeight="1" thickTop="1" thickBot="1" x14ac:dyDescent="0.2">
      <c r="B88" s="121">
        <v>5</v>
      </c>
      <c r="C88" s="102" t="str">
        <f t="shared" si="21"/>
        <v>17 h à 19 h</v>
      </c>
      <c r="D88" s="14">
        <v>10</v>
      </c>
      <c r="E88" s="14">
        <v>9</v>
      </c>
      <c r="F88" s="14">
        <v>10</v>
      </c>
      <c r="G88" s="22">
        <v>11</v>
      </c>
      <c r="H88" s="14">
        <v>12</v>
      </c>
      <c r="I88" s="14">
        <v>15</v>
      </c>
      <c r="J88" s="22">
        <v>20</v>
      </c>
      <c r="K88" s="14">
        <v>18</v>
      </c>
      <c r="L88" s="14">
        <v>12</v>
      </c>
      <c r="M88" s="22">
        <v>11</v>
      </c>
      <c r="N88" s="14">
        <v>10</v>
      </c>
      <c r="O88" s="14">
        <v>12</v>
      </c>
    </row>
    <row r="89" spans="2:15" ht="14" customHeight="1" thickTop="1" thickBot="1" x14ac:dyDescent="0.2">
      <c r="B89" s="121">
        <v>6</v>
      </c>
      <c r="C89" s="102" t="str">
        <f t="shared" si="21"/>
        <v>19 h à 23 h</v>
      </c>
      <c r="D89" s="14">
        <v>10</v>
      </c>
      <c r="E89" s="14">
        <v>9</v>
      </c>
      <c r="F89" s="14">
        <v>10</v>
      </c>
      <c r="G89" s="22">
        <v>11</v>
      </c>
      <c r="H89" s="14">
        <v>12</v>
      </c>
      <c r="I89" s="14">
        <v>15</v>
      </c>
      <c r="J89" s="22">
        <v>20</v>
      </c>
      <c r="K89" s="14">
        <v>18</v>
      </c>
      <c r="L89" s="14">
        <v>12</v>
      </c>
      <c r="M89" s="22">
        <v>11</v>
      </c>
      <c r="N89" s="14">
        <v>10</v>
      </c>
      <c r="O89" s="14">
        <v>12</v>
      </c>
    </row>
    <row r="90" spans="2:15" ht="14" customHeight="1" thickTop="1" thickBot="1" x14ac:dyDescent="0.2">
      <c r="B90" s="121">
        <v>7</v>
      </c>
      <c r="C90" s="102" t="str">
        <f t="shared" si="21"/>
        <v>23 h à 6 h</v>
      </c>
      <c r="D90" s="14">
        <v>0</v>
      </c>
      <c r="E90" s="14">
        <v>0</v>
      </c>
      <c r="F90" s="14">
        <v>0</v>
      </c>
      <c r="G90" s="22">
        <v>0</v>
      </c>
      <c r="H90" s="14">
        <v>0</v>
      </c>
      <c r="I90" s="14">
        <v>0</v>
      </c>
      <c r="J90" s="22">
        <v>0</v>
      </c>
      <c r="K90" s="14">
        <v>0</v>
      </c>
      <c r="L90" s="14">
        <v>0</v>
      </c>
      <c r="M90" s="22">
        <v>0</v>
      </c>
      <c r="N90" s="14">
        <v>0</v>
      </c>
      <c r="O90" s="14">
        <v>0</v>
      </c>
    </row>
    <row r="91" spans="2:15" ht="14" customHeight="1" thickTop="1" thickBot="1" x14ac:dyDescent="0.2">
      <c r="B91" s="19"/>
      <c r="C91" s="21" t="str">
        <f t="shared" ref="C91" si="22">+C82</f>
        <v>Total</v>
      </c>
      <c r="D91" s="17">
        <f t="shared" ref="D91:O91" si="23">+D84+D85+D86+D87+D88+D89+D90</f>
        <v>50</v>
      </c>
      <c r="E91" s="17">
        <f t="shared" si="23"/>
        <v>45</v>
      </c>
      <c r="F91" s="17">
        <f t="shared" si="23"/>
        <v>50</v>
      </c>
      <c r="G91" s="17">
        <f t="shared" si="23"/>
        <v>55</v>
      </c>
      <c r="H91" s="17">
        <f t="shared" si="23"/>
        <v>60</v>
      </c>
      <c r="I91" s="17">
        <f t="shared" si="23"/>
        <v>75</v>
      </c>
      <c r="J91" s="17">
        <f t="shared" si="23"/>
        <v>100</v>
      </c>
      <c r="K91" s="17">
        <f t="shared" si="23"/>
        <v>90</v>
      </c>
      <c r="L91" s="17">
        <f t="shared" si="23"/>
        <v>60</v>
      </c>
      <c r="M91" s="17">
        <f t="shared" si="23"/>
        <v>55</v>
      </c>
      <c r="N91" s="17">
        <f t="shared" si="23"/>
        <v>50</v>
      </c>
      <c r="O91" s="17">
        <f t="shared" si="23"/>
        <v>60</v>
      </c>
    </row>
    <row r="92" spans="2:15" ht="14" customHeight="1" thickTop="1" thickBot="1" x14ac:dyDescent="0.2">
      <c r="B92" s="124" t="s">
        <v>2</v>
      </c>
      <c r="C92" s="125" t="str">
        <f>+'Calendrier 2021'!C18</f>
        <v>Mercredi</v>
      </c>
      <c r="D92" s="77">
        <f>+'Calendrier 2021'!D18</f>
        <v>44202</v>
      </c>
      <c r="E92" s="77" t="str">
        <f>+'Calendrier 2021'!E18</f>
        <v>10 fev 2021</v>
      </c>
      <c r="F92" s="77">
        <f>+'Calendrier 2021'!F18</f>
        <v>44265</v>
      </c>
      <c r="G92" s="77">
        <f>+'Calendrier 2021'!G18</f>
        <v>44293</v>
      </c>
      <c r="H92" s="77">
        <f>+'Calendrier 2021'!H18</f>
        <v>44321</v>
      </c>
      <c r="I92" s="77">
        <f>+'Calendrier 2021'!I18</f>
        <v>44356</v>
      </c>
      <c r="J92" s="77">
        <f>+'Calendrier 2021'!J18</f>
        <v>44384</v>
      </c>
      <c r="K92" s="77">
        <f>+'Calendrier 2021'!K18</f>
        <v>44412</v>
      </c>
      <c r="L92" s="77">
        <f>+'Calendrier 2021'!L18</f>
        <v>44447</v>
      </c>
      <c r="M92" s="77">
        <f>+'Calendrier 2021'!M18</f>
        <v>44475</v>
      </c>
      <c r="N92" s="77">
        <f>+'Calendrier 2021'!N18</f>
        <v>44510</v>
      </c>
      <c r="O92" s="78" t="str">
        <f>+'Calendrier 2021'!O18</f>
        <v>8 dec 2021</v>
      </c>
    </row>
    <row r="93" spans="2:15" ht="14" customHeight="1" thickTop="1" thickBot="1" x14ac:dyDescent="0.2">
      <c r="B93" s="18">
        <v>1</v>
      </c>
      <c r="C93" s="100" t="str">
        <f t="shared" ref="C93:C99" si="24">C84</f>
        <v>6 h à 9 h 30</v>
      </c>
      <c r="D93" s="12">
        <v>0</v>
      </c>
      <c r="E93" s="12">
        <v>0</v>
      </c>
      <c r="F93" s="12">
        <v>0</v>
      </c>
      <c r="G93" s="12">
        <v>0</v>
      </c>
      <c r="H93" s="12">
        <v>0</v>
      </c>
      <c r="I93" s="12">
        <v>0</v>
      </c>
      <c r="J93" s="12">
        <v>0</v>
      </c>
      <c r="K93" s="12">
        <v>0</v>
      </c>
      <c r="L93" s="12">
        <v>0</v>
      </c>
      <c r="M93" s="12">
        <v>0</v>
      </c>
      <c r="N93" s="12">
        <v>0</v>
      </c>
      <c r="O93" s="12">
        <v>0</v>
      </c>
    </row>
    <row r="94" spans="2:15" ht="14" customHeight="1" thickTop="1" thickBot="1" x14ac:dyDescent="0.2">
      <c r="B94" s="121">
        <v>2</v>
      </c>
      <c r="C94" s="102" t="str">
        <f t="shared" si="24"/>
        <v>9 h 30 à 11 h 30</v>
      </c>
      <c r="D94" s="14">
        <v>10</v>
      </c>
      <c r="E94" s="14">
        <v>9</v>
      </c>
      <c r="F94" s="14">
        <v>10</v>
      </c>
      <c r="G94" s="22">
        <v>11</v>
      </c>
      <c r="H94" s="14">
        <v>12</v>
      </c>
      <c r="I94" s="14">
        <v>15</v>
      </c>
      <c r="J94" s="14">
        <v>20</v>
      </c>
      <c r="K94" s="14">
        <v>18</v>
      </c>
      <c r="L94" s="14">
        <v>12</v>
      </c>
      <c r="M94" s="14">
        <v>11</v>
      </c>
      <c r="N94" s="14">
        <v>10</v>
      </c>
      <c r="O94" s="14">
        <v>12</v>
      </c>
    </row>
    <row r="95" spans="2:15" ht="14" customHeight="1" thickTop="1" thickBot="1" x14ac:dyDescent="0.2">
      <c r="B95" s="121">
        <v>3</v>
      </c>
      <c r="C95" s="102" t="str">
        <f t="shared" si="24"/>
        <v>11 h 30 à 14 h 30</v>
      </c>
      <c r="D95" s="14">
        <v>10</v>
      </c>
      <c r="E95" s="14">
        <v>9</v>
      </c>
      <c r="F95" s="14">
        <v>10</v>
      </c>
      <c r="G95" s="22">
        <v>11</v>
      </c>
      <c r="H95" s="14">
        <v>12</v>
      </c>
      <c r="I95" s="14">
        <v>15</v>
      </c>
      <c r="J95" s="14">
        <v>20</v>
      </c>
      <c r="K95" s="14">
        <v>18</v>
      </c>
      <c r="L95" s="14">
        <v>12</v>
      </c>
      <c r="M95" s="14">
        <v>11</v>
      </c>
      <c r="N95" s="14">
        <v>10</v>
      </c>
      <c r="O95" s="14">
        <v>12</v>
      </c>
    </row>
    <row r="96" spans="2:15" ht="14" customHeight="1" thickTop="1" thickBot="1" x14ac:dyDescent="0.2">
      <c r="B96" s="121">
        <v>4</v>
      </c>
      <c r="C96" s="102" t="str">
        <f t="shared" si="24"/>
        <v>14 h 30 à 17 h</v>
      </c>
      <c r="D96" s="14">
        <v>10</v>
      </c>
      <c r="E96" s="14">
        <v>9</v>
      </c>
      <c r="F96" s="14">
        <v>10</v>
      </c>
      <c r="G96" s="22">
        <v>11</v>
      </c>
      <c r="H96" s="14">
        <v>12</v>
      </c>
      <c r="I96" s="14">
        <v>15</v>
      </c>
      <c r="J96" s="14">
        <v>20</v>
      </c>
      <c r="K96" s="14">
        <v>18</v>
      </c>
      <c r="L96" s="14">
        <v>12</v>
      </c>
      <c r="M96" s="14">
        <v>11</v>
      </c>
      <c r="N96" s="14">
        <v>10</v>
      </c>
      <c r="O96" s="14">
        <v>12</v>
      </c>
    </row>
    <row r="97" spans="2:15" ht="14" customHeight="1" thickTop="1" thickBot="1" x14ac:dyDescent="0.2">
      <c r="B97" s="121">
        <v>5</v>
      </c>
      <c r="C97" s="102" t="str">
        <f t="shared" si="24"/>
        <v>17 h à 19 h</v>
      </c>
      <c r="D97" s="14">
        <v>10</v>
      </c>
      <c r="E97" s="14">
        <v>9</v>
      </c>
      <c r="F97" s="14">
        <v>10</v>
      </c>
      <c r="G97" s="22">
        <v>11</v>
      </c>
      <c r="H97" s="14">
        <v>12</v>
      </c>
      <c r="I97" s="14">
        <v>15</v>
      </c>
      <c r="J97" s="14">
        <v>20</v>
      </c>
      <c r="K97" s="14">
        <v>18</v>
      </c>
      <c r="L97" s="14">
        <v>12</v>
      </c>
      <c r="M97" s="14">
        <v>11</v>
      </c>
      <c r="N97" s="14">
        <v>10</v>
      </c>
      <c r="O97" s="14">
        <v>12</v>
      </c>
    </row>
    <row r="98" spans="2:15" ht="14" customHeight="1" thickTop="1" thickBot="1" x14ac:dyDescent="0.2">
      <c r="B98" s="121">
        <v>6</v>
      </c>
      <c r="C98" s="102" t="str">
        <f t="shared" si="24"/>
        <v>19 h à 23 h</v>
      </c>
      <c r="D98" s="14">
        <v>10</v>
      </c>
      <c r="E98" s="14">
        <v>9</v>
      </c>
      <c r="F98" s="14">
        <v>10</v>
      </c>
      <c r="G98" s="22">
        <v>11</v>
      </c>
      <c r="H98" s="14">
        <v>12</v>
      </c>
      <c r="I98" s="14">
        <v>15</v>
      </c>
      <c r="J98" s="14">
        <v>20</v>
      </c>
      <c r="K98" s="14">
        <v>18</v>
      </c>
      <c r="L98" s="14">
        <v>12</v>
      </c>
      <c r="M98" s="14">
        <v>11</v>
      </c>
      <c r="N98" s="14">
        <v>10</v>
      </c>
      <c r="O98" s="14">
        <v>12</v>
      </c>
    </row>
    <row r="99" spans="2:15" ht="14" customHeight="1" thickTop="1" thickBot="1" x14ac:dyDescent="0.2">
      <c r="B99" s="121">
        <v>7</v>
      </c>
      <c r="C99" s="102" t="str">
        <f t="shared" si="24"/>
        <v>23 h à 6 h</v>
      </c>
      <c r="D99" s="14">
        <v>0</v>
      </c>
      <c r="E99" s="14">
        <v>0</v>
      </c>
      <c r="F99" s="14">
        <v>0</v>
      </c>
      <c r="G99" s="22">
        <v>0</v>
      </c>
      <c r="H99" s="14">
        <v>0</v>
      </c>
      <c r="I99" s="14">
        <v>0</v>
      </c>
      <c r="J99" s="14">
        <v>0</v>
      </c>
      <c r="K99" s="14">
        <v>0</v>
      </c>
      <c r="L99" s="14">
        <v>0</v>
      </c>
      <c r="M99" s="14">
        <v>0</v>
      </c>
      <c r="N99" s="14">
        <v>0</v>
      </c>
      <c r="O99" s="14">
        <v>0</v>
      </c>
    </row>
    <row r="100" spans="2:15" ht="14" customHeight="1" thickTop="1" thickBot="1" x14ac:dyDescent="0.2">
      <c r="B100" s="19"/>
      <c r="C100" s="298" t="str">
        <f t="shared" ref="C100" si="25">+C82</f>
        <v>Total</v>
      </c>
      <c r="D100" s="17">
        <f t="shared" ref="D100:O100" si="26">+D93+D94+D95+D96+D97+D98+D99</f>
        <v>50</v>
      </c>
      <c r="E100" s="17">
        <f t="shared" si="26"/>
        <v>45</v>
      </c>
      <c r="F100" s="17">
        <f t="shared" si="26"/>
        <v>50</v>
      </c>
      <c r="G100" s="17">
        <f t="shared" si="26"/>
        <v>55</v>
      </c>
      <c r="H100" s="17">
        <f t="shared" si="26"/>
        <v>60</v>
      </c>
      <c r="I100" s="17">
        <f t="shared" si="26"/>
        <v>75</v>
      </c>
      <c r="J100" s="17">
        <f t="shared" si="26"/>
        <v>100</v>
      </c>
      <c r="K100" s="17">
        <f t="shared" si="26"/>
        <v>90</v>
      </c>
      <c r="L100" s="17">
        <f t="shared" si="26"/>
        <v>60</v>
      </c>
      <c r="M100" s="17">
        <f t="shared" si="26"/>
        <v>55</v>
      </c>
      <c r="N100" s="17">
        <f t="shared" si="26"/>
        <v>50</v>
      </c>
      <c r="O100" s="17">
        <f t="shared" si="26"/>
        <v>60</v>
      </c>
    </row>
    <row r="101" spans="2:15" ht="14" customHeight="1" thickTop="1" thickBot="1" x14ac:dyDescent="0.2">
      <c r="B101" s="124" t="s">
        <v>2</v>
      </c>
      <c r="C101" s="299" t="str">
        <f>+'Calendrier 2021'!C19</f>
        <v>Jeudi</v>
      </c>
      <c r="D101" s="77">
        <f>+'Calendrier 2021'!D19</f>
        <v>44203</v>
      </c>
      <c r="E101" s="77" t="str">
        <f>+'Calendrier 2021'!E19</f>
        <v>11 fev 2021</v>
      </c>
      <c r="F101" s="77">
        <f>+'Calendrier 2021'!F19</f>
        <v>44266</v>
      </c>
      <c r="G101" s="77">
        <f>+'Calendrier 2021'!G19</f>
        <v>44294</v>
      </c>
      <c r="H101" s="77">
        <f>+'Calendrier 2021'!H19</f>
        <v>44322</v>
      </c>
      <c r="I101" s="77">
        <f>+'Calendrier 2021'!I19</f>
        <v>44357</v>
      </c>
      <c r="J101" s="77">
        <f>+'Calendrier 2021'!J19</f>
        <v>44385</v>
      </c>
      <c r="K101" s="77">
        <f>+'Calendrier 2021'!K19</f>
        <v>44413</v>
      </c>
      <c r="L101" s="77">
        <f>+'Calendrier 2021'!L19</f>
        <v>44448</v>
      </c>
      <c r="M101" s="77">
        <f>+'Calendrier 2021'!M19</f>
        <v>44476</v>
      </c>
      <c r="N101" s="77">
        <f>+'Calendrier 2021'!N19</f>
        <v>44511</v>
      </c>
      <c r="O101" s="78" t="str">
        <f>+'Calendrier 2021'!O19</f>
        <v>9 dec 2021</v>
      </c>
    </row>
    <row r="102" spans="2:15" ht="14" customHeight="1" thickTop="1" thickBot="1" x14ac:dyDescent="0.2">
      <c r="B102" s="18">
        <v>1</v>
      </c>
      <c r="C102" s="100" t="str">
        <f t="shared" ref="C102:C108" si="27">C93</f>
        <v>6 h à 9 h 30</v>
      </c>
      <c r="D102" s="12">
        <v>0</v>
      </c>
      <c r="E102" s="12">
        <v>0</v>
      </c>
      <c r="F102" s="12">
        <v>0</v>
      </c>
      <c r="G102" s="12">
        <v>0</v>
      </c>
      <c r="H102" s="12">
        <v>0</v>
      </c>
      <c r="I102" s="12">
        <v>0</v>
      </c>
      <c r="J102" s="12">
        <v>0</v>
      </c>
      <c r="K102" s="12">
        <v>0</v>
      </c>
      <c r="L102" s="12">
        <v>0</v>
      </c>
      <c r="M102" s="12">
        <v>0</v>
      </c>
      <c r="N102" s="12">
        <v>0</v>
      </c>
      <c r="O102" s="12">
        <v>0</v>
      </c>
    </row>
    <row r="103" spans="2:15" ht="14" customHeight="1" thickTop="1" thickBot="1" x14ac:dyDescent="0.2">
      <c r="B103" s="121">
        <v>2</v>
      </c>
      <c r="C103" s="102" t="str">
        <f t="shared" si="27"/>
        <v>9 h 30 à 11 h 30</v>
      </c>
      <c r="D103" s="14">
        <v>10</v>
      </c>
      <c r="E103" s="14">
        <v>9</v>
      </c>
      <c r="F103" s="14">
        <v>10</v>
      </c>
      <c r="G103" s="22">
        <v>11</v>
      </c>
      <c r="H103" s="14">
        <v>12</v>
      </c>
      <c r="I103" s="14">
        <v>15</v>
      </c>
      <c r="J103" s="14">
        <v>20</v>
      </c>
      <c r="K103" s="14">
        <v>18</v>
      </c>
      <c r="L103" s="14">
        <v>12</v>
      </c>
      <c r="M103" s="14">
        <v>11</v>
      </c>
      <c r="N103" s="14">
        <v>10</v>
      </c>
      <c r="O103" s="14">
        <v>12</v>
      </c>
    </row>
    <row r="104" spans="2:15" ht="14" customHeight="1" thickTop="1" thickBot="1" x14ac:dyDescent="0.2">
      <c r="B104" s="121">
        <v>3</v>
      </c>
      <c r="C104" s="102" t="str">
        <f t="shared" si="27"/>
        <v>11 h 30 à 14 h 30</v>
      </c>
      <c r="D104" s="14">
        <v>10</v>
      </c>
      <c r="E104" s="14">
        <v>9</v>
      </c>
      <c r="F104" s="14">
        <v>10</v>
      </c>
      <c r="G104" s="22">
        <v>11</v>
      </c>
      <c r="H104" s="14">
        <v>12</v>
      </c>
      <c r="I104" s="14">
        <v>15</v>
      </c>
      <c r="J104" s="14">
        <v>20</v>
      </c>
      <c r="K104" s="14">
        <v>18</v>
      </c>
      <c r="L104" s="14">
        <v>12</v>
      </c>
      <c r="M104" s="14">
        <v>11</v>
      </c>
      <c r="N104" s="14">
        <v>10</v>
      </c>
      <c r="O104" s="14">
        <v>12</v>
      </c>
    </row>
    <row r="105" spans="2:15" ht="14" customHeight="1" thickTop="1" thickBot="1" x14ac:dyDescent="0.2">
      <c r="B105" s="121">
        <v>4</v>
      </c>
      <c r="C105" s="102" t="str">
        <f t="shared" si="27"/>
        <v>14 h 30 à 17 h</v>
      </c>
      <c r="D105" s="14">
        <v>10</v>
      </c>
      <c r="E105" s="14">
        <v>9</v>
      </c>
      <c r="F105" s="14">
        <v>10</v>
      </c>
      <c r="G105" s="22">
        <v>11</v>
      </c>
      <c r="H105" s="14">
        <v>12</v>
      </c>
      <c r="I105" s="14">
        <v>15</v>
      </c>
      <c r="J105" s="14">
        <v>20</v>
      </c>
      <c r="K105" s="14">
        <v>18</v>
      </c>
      <c r="L105" s="14">
        <v>12</v>
      </c>
      <c r="M105" s="14">
        <v>11</v>
      </c>
      <c r="N105" s="14">
        <v>10</v>
      </c>
      <c r="O105" s="14">
        <v>12</v>
      </c>
    </row>
    <row r="106" spans="2:15" ht="14" customHeight="1" thickTop="1" thickBot="1" x14ac:dyDescent="0.2">
      <c r="B106" s="121">
        <v>5</v>
      </c>
      <c r="C106" s="102" t="str">
        <f t="shared" si="27"/>
        <v>17 h à 19 h</v>
      </c>
      <c r="D106" s="14">
        <v>10</v>
      </c>
      <c r="E106" s="14">
        <v>9</v>
      </c>
      <c r="F106" s="14">
        <v>10</v>
      </c>
      <c r="G106" s="22">
        <v>11</v>
      </c>
      <c r="H106" s="14">
        <v>12</v>
      </c>
      <c r="I106" s="14">
        <v>15</v>
      </c>
      <c r="J106" s="14">
        <v>20</v>
      </c>
      <c r="K106" s="14">
        <v>18</v>
      </c>
      <c r="L106" s="14">
        <v>12</v>
      </c>
      <c r="M106" s="14">
        <v>11</v>
      </c>
      <c r="N106" s="14">
        <v>10</v>
      </c>
      <c r="O106" s="14">
        <v>12</v>
      </c>
    </row>
    <row r="107" spans="2:15" ht="14" customHeight="1" thickTop="1" thickBot="1" x14ac:dyDescent="0.2">
      <c r="B107" s="121">
        <v>6</v>
      </c>
      <c r="C107" s="102" t="str">
        <f t="shared" si="27"/>
        <v>19 h à 23 h</v>
      </c>
      <c r="D107" s="14">
        <v>10</v>
      </c>
      <c r="E107" s="14">
        <v>9</v>
      </c>
      <c r="F107" s="14">
        <v>10</v>
      </c>
      <c r="G107" s="22">
        <v>11</v>
      </c>
      <c r="H107" s="14">
        <v>12</v>
      </c>
      <c r="I107" s="14">
        <v>15</v>
      </c>
      <c r="J107" s="14">
        <v>20</v>
      </c>
      <c r="K107" s="14">
        <v>18</v>
      </c>
      <c r="L107" s="14">
        <v>12</v>
      </c>
      <c r="M107" s="14">
        <v>11</v>
      </c>
      <c r="N107" s="14">
        <v>10</v>
      </c>
      <c r="O107" s="14">
        <v>12</v>
      </c>
    </row>
    <row r="108" spans="2:15" ht="14" customHeight="1" thickTop="1" thickBot="1" x14ac:dyDescent="0.2">
      <c r="B108" s="121">
        <v>7</v>
      </c>
      <c r="C108" s="102" t="str">
        <f t="shared" si="27"/>
        <v>23 h à 6 h</v>
      </c>
      <c r="D108" s="14">
        <v>0</v>
      </c>
      <c r="E108" s="14">
        <v>0</v>
      </c>
      <c r="F108" s="14">
        <v>0</v>
      </c>
      <c r="G108" s="22">
        <v>0</v>
      </c>
      <c r="H108" s="14">
        <v>0</v>
      </c>
      <c r="I108" s="14">
        <v>0</v>
      </c>
      <c r="J108" s="14">
        <v>0</v>
      </c>
      <c r="K108" s="14">
        <v>0</v>
      </c>
      <c r="L108" s="14">
        <v>0</v>
      </c>
      <c r="M108" s="14">
        <v>0</v>
      </c>
      <c r="N108" s="14">
        <v>0</v>
      </c>
      <c r="O108" s="14">
        <v>0</v>
      </c>
    </row>
    <row r="109" spans="2:15" ht="14" customHeight="1" thickTop="1" thickBot="1" x14ac:dyDescent="0.2">
      <c r="B109" s="19"/>
      <c r="C109" s="21" t="str">
        <f>+C100</f>
        <v>Total</v>
      </c>
      <c r="D109" s="17">
        <f t="shared" ref="D109:O109" si="28">+D102+D103+D104+D105+D106+D107+D108</f>
        <v>50</v>
      </c>
      <c r="E109" s="17">
        <f t="shared" si="28"/>
        <v>45</v>
      </c>
      <c r="F109" s="17">
        <f t="shared" si="28"/>
        <v>50</v>
      </c>
      <c r="G109" s="17">
        <f t="shared" si="28"/>
        <v>55</v>
      </c>
      <c r="H109" s="17">
        <f t="shared" si="28"/>
        <v>60</v>
      </c>
      <c r="I109" s="17">
        <f t="shared" si="28"/>
        <v>75</v>
      </c>
      <c r="J109" s="17">
        <f t="shared" si="28"/>
        <v>100</v>
      </c>
      <c r="K109" s="17">
        <f t="shared" si="28"/>
        <v>90</v>
      </c>
      <c r="L109" s="17">
        <f t="shared" si="28"/>
        <v>60</v>
      </c>
      <c r="M109" s="17">
        <f t="shared" si="28"/>
        <v>55</v>
      </c>
      <c r="N109" s="17">
        <f t="shared" si="28"/>
        <v>50</v>
      </c>
      <c r="O109" s="17">
        <f t="shared" si="28"/>
        <v>60</v>
      </c>
    </row>
    <row r="110" spans="2:15" ht="14" customHeight="1" thickTop="1" thickBot="1" x14ac:dyDescent="0.2">
      <c r="B110" s="124" t="s">
        <v>2</v>
      </c>
      <c r="C110" s="125" t="str">
        <f>+'Calendrier 2021'!C20</f>
        <v>Vendredi</v>
      </c>
      <c r="D110" s="77">
        <f>+'Calendrier 2021'!D20</f>
        <v>44204</v>
      </c>
      <c r="E110" s="77" t="str">
        <f>+'Calendrier 2021'!E20</f>
        <v>12 fev 2021</v>
      </c>
      <c r="F110" s="77">
        <f>+'Calendrier 2021'!F20</f>
        <v>44267</v>
      </c>
      <c r="G110" s="77">
        <f>+'Calendrier 2021'!G20</f>
        <v>44295</v>
      </c>
      <c r="H110" s="77">
        <f>+'Calendrier 2021'!H20</f>
        <v>44323</v>
      </c>
      <c r="I110" s="77">
        <f>+'Calendrier 2021'!I20</f>
        <v>44358</v>
      </c>
      <c r="J110" s="77">
        <f>+'Calendrier 2021'!J20</f>
        <v>44386</v>
      </c>
      <c r="K110" s="77">
        <f>+'Calendrier 2021'!K20</f>
        <v>44414</v>
      </c>
      <c r="L110" s="77">
        <f>+'Calendrier 2021'!L20</f>
        <v>44449</v>
      </c>
      <c r="M110" s="77">
        <f>+'Calendrier 2021'!M20</f>
        <v>44477</v>
      </c>
      <c r="N110" s="77">
        <f>+'Calendrier 2021'!N20</f>
        <v>44512</v>
      </c>
      <c r="O110" s="78" t="str">
        <f>+'Calendrier 2021'!O20</f>
        <v>10 dec 2021</v>
      </c>
    </row>
    <row r="111" spans="2:15" ht="14" customHeight="1" thickTop="1" thickBot="1" x14ac:dyDescent="0.2">
      <c r="B111" s="18">
        <v>1</v>
      </c>
      <c r="C111" s="100" t="str">
        <f t="shared" ref="C111:C117" si="29">C102</f>
        <v>6 h à 9 h 30</v>
      </c>
      <c r="D111" s="12">
        <v>0</v>
      </c>
      <c r="E111" s="12">
        <v>0</v>
      </c>
      <c r="F111" s="12">
        <v>0</v>
      </c>
      <c r="G111" s="12">
        <v>0</v>
      </c>
      <c r="H111" s="12">
        <v>0</v>
      </c>
      <c r="I111" s="12">
        <v>0</v>
      </c>
      <c r="J111" s="12">
        <v>0</v>
      </c>
      <c r="K111" s="12">
        <v>0</v>
      </c>
      <c r="L111" s="12">
        <v>0</v>
      </c>
      <c r="M111" s="12">
        <v>0</v>
      </c>
      <c r="N111" s="12">
        <v>0</v>
      </c>
      <c r="O111" s="12">
        <v>0</v>
      </c>
    </row>
    <row r="112" spans="2:15" ht="14" customHeight="1" thickTop="1" thickBot="1" x14ac:dyDescent="0.2">
      <c r="B112" s="121">
        <v>2</v>
      </c>
      <c r="C112" s="102" t="str">
        <f t="shared" si="29"/>
        <v>9 h 30 à 11 h 30</v>
      </c>
      <c r="D112" s="14">
        <v>10</v>
      </c>
      <c r="E112" s="14">
        <v>9</v>
      </c>
      <c r="F112" s="14">
        <v>10</v>
      </c>
      <c r="G112" s="14">
        <v>11</v>
      </c>
      <c r="H112" s="14">
        <v>12</v>
      </c>
      <c r="I112" s="14">
        <v>15</v>
      </c>
      <c r="J112" s="14">
        <v>20</v>
      </c>
      <c r="K112" s="14">
        <v>18</v>
      </c>
      <c r="L112" s="14">
        <v>12</v>
      </c>
      <c r="M112" s="14">
        <v>11</v>
      </c>
      <c r="N112" s="14">
        <v>10</v>
      </c>
      <c r="O112" s="14">
        <v>12</v>
      </c>
    </row>
    <row r="113" spans="2:16" ht="14" customHeight="1" thickTop="1" thickBot="1" x14ac:dyDescent="0.2">
      <c r="B113" s="121">
        <v>3</v>
      </c>
      <c r="C113" s="102" t="str">
        <f t="shared" si="29"/>
        <v>11 h 30 à 14 h 30</v>
      </c>
      <c r="D113" s="14">
        <v>10</v>
      </c>
      <c r="E113" s="14">
        <v>9</v>
      </c>
      <c r="F113" s="14">
        <v>10</v>
      </c>
      <c r="G113" s="14">
        <v>11</v>
      </c>
      <c r="H113" s="14">
        <v>12</v>
      </c>
      <c r="I113" s="14">
        <v>15</v>
      </c>
      <c r="J113" s="14">
        <v>20</v>
      </c>
      <c r="K113" s="14">
        <v>18</v>
      </c>
      <c r="L113" s="14">
        <v>12</v>
      </c>
      <c r="M113" s="14">
        <v>11</v>
      </c>
      <c r="N113" s="14">
        <v>10</v>
      </c>
      <c r="O113" s="14">
        <v>12</v>
      </c>
    </row>
    <row r="114" spans="2:16" ht="14" customHeight="1" thickTop="1" thickBot="1" x14ac:dyDescent="0.2">
      <c r="B114" s="121">
        <v>4</v>
      </c>
      <c r="C114" s="102" t="str">
        <f t="shared" si="29"/>
        <v>14 h 30 à 17 h</v>
      </c>
      <c r="D114" s="14">
        <v>10</v>
      </c>
      <c r="E114" s="14">
        <v>9</v>
      </c>
      <c r="F114" s="14">
        <v>10</v>
      </c>
      <c r="G114" s="14">
        <v>11</v>
      </c>
      <c r="H114" s="14">
        <v>12</v>
      </c>
      <c r="I114" s="14">
        <v>15</v>
      </c>
      <c r="J114" s="14">
        <v>20</v>
      </c>
      <c r="K114" s="14">
        <v>18</v>
      </c>
      <c r="L114" s="14">
        <v>12</v>
      </c>
      <c r="M114" s="14">
        <v>11</v>
      </c>
      <c r="N114" s="14">
        <v>10</v>
      </c>
      <c r="O114" s="14">
        <v>12</v>
      </c>
    </row>
    <row r="115" spans="2:16" ht="14" customHeight="1" thickTop="1" thickBot="1" x14ac:dyDescent="0.2">
      <c r="B115" s="121">
        <v>5</v>
      </c>
      <c r="C115" s="102" t="str">
        <f t="shared" si="29"/>
        <v>17 h à 19 h</v>
      </c>
      <c r="D115" s="14">
        <v>10</v>
      </c>
      <c r="E115" s="14">
        <v>9</v>
      </c>
      <c r="F115" s="14">
        <v>10</v>
      </c>
      <c r="G115" s="14">
        <v>11</v>
      </c>
      <c r="H115" s="14">
        <v>12</v>
      </c>
      <c r="I115" s="14">
        <v>15</v>
      </c>
      <c r="J115" s="14">
        <v>20</v>
      </c>
      <c r="K115" s="14">
        <v>18</v>
      </c>
      <c r="L115" s="14">
        <v>12</v>
      </c>
      <c r="M115" s="14">
        <v>11</v>
      </c>
      <c r="N115" s="14">
        <v>10</v>
      </c>
      <c r="O115" s="14">
        <v>12</v>
      </c>
    </row>
    <row r="116" spans="2:16" ht="14" customHeight="1" thickTop="1" thickBot="1" x14ac:dyDescent="0.2">
      <c r="B116" s="121">
        <v>6</v>
      </c>
      <c r="C116" s="102" t="str">
        <f t="shared" si="29"/>
        <v>19 h à 23 h</v>
      </c>
      <c r="D116" s="14">
        <v>10</v>
      </c>
      <c r="E116" s="14">
        <v>9</v>
      </c>
      <c r="F116" s="14">
        <v>10</v>
      </c>
      <c r="G116" s="14">
        <v>11</v>
      </c>
      <c r="H116" s="14">
        <v>12</v>
      </c>
      <c r="I116" s="14">
        <v>15</v>
      </c>
      <c r="J116" s="14">
        <v>20</v>
      </c>
      <c r="K116" s="14">
        <v>18</v>
      </c>
      <c r="L116" s="14">
        <v>12</v>
      </c>
      <c r="M116" s="14">
        <v>11</v>
      </c>
      <c r="N116" s="14">
        <v>10</v>
      </c>
      <c r="O116" s="14">
        <v>12</v>
      </c>
    </row>
    <row r="117" spans="2:16" ht="14" customHeight="1" thickTop="1" thickBot="1" x14ac:dyDescent="0.2">
      <c r="B117" s="121">
        <v>7</v>
      </c>
      <c r="C117" s="102" t="str">
        <f t="shared" si="29"/>
        <v>23 h à 6 h</v>
      </c>
      <c r="D117" s="14">
        <v>0</v>
      </c>
      <c r="E117" s="14">
        <v>0</v>
      </c>
      <c r="F117" s="14">
        <v>0</v>
      </c>
      <c r="G117" s="14">
        <v>0</v>
      </c>
      <c r="H117" s="14">
        <v>0</v>
      </c>
      <c r="I117" s="14">
        <v>0</v>
      </c>
      <c r="J117" s="14">
        <v>0</v>
      </c>
      <c r="K117" s="14">
        <v>0</v>
      </c>
      <c r="L117" s="14">
        <v>0</v>
      </c>
      <c r="M117" s="14">
        <v>0</v>
      </c>
      <c r="N117" s="14">
        <v>0</v>
      </c>
      <c r="O117" s="14">
        <v>0</v>
      </c>
    </row>
    <row r="118" spans="2:16" ht="14" customHeight="1" thickTop="1" thickBot="1" x14ac:dyDescent="0.2">
      <c r="B118" s="19"/>
      <c r="C118" s="298" t="str">
        <f t="shared" ref="C118" si="30">+C109</f>
        <v>Total</v>
      </c>
      <c r="D118" s="17">
        <f t="shared" ref="D118:O118" si="31">+D111+D112+D113+D114+D115+D116+D117</f>
        <v>50</v>
      </c>
      <c r="E118" s="17">
        <f t="shared" si="31"/>
        <v>45</v>
      </c>
      <c r="F118" s="17">
        <f t="shared" si="31"/>
        <v>50</v>
      </c>
      <c r="G118" s="17">
        <f t="shared" si="31"/>
        <v>55</v>
      </c>
      <c r="H118" s="17">
        <f t="shared" si="31"/>
        <v>60</v>
      </c>
      <c r="I118" s="17">
        <f t="shared" si="31"/>
        <v>75</v>
      </c>
      <c r="J118" s="17">
        <f t="shared" si="31"/>
        <v>100</v>
      </c>
      <c r="K118" s="17">
        <f t="shared" si="31"/>
        <v>90</v>
      </c>
      <c r="L118" s="17">
        <f t="shared" si="31"/>
        <v>60</v>
      </c>
      <c r="M118" s="17">
        <f t="shared" si="31"/>
        <v>55</v>
      </c>
      <c r="N118" s="17">
        <f t="shared" si="31"/>
        <v>50</v>
      </c>
      <c r="O118" s="17">
        <f t="shared" si="31"/>
        <v>60</v>
      </c>
    </row>
    <row r="119" spans="2:16" ht="14" customHeight="1" thickTop="1" thickBot="1" x14ac:dyDescent="0.2">
      <c r="B119" s="124" t="s">
        <v>2</v>
      </c>
      <c r="C119" s="299" t="str">
        <f>+'Calendrier 2021'!C21</f>
        <v>Samedi</v>
      </c>
      <c r="D119" s="77">
        <f>+'Calendrier 2021'!D21</f>
        <v>44205</v>
      </c>
      <c r="E119" s="77" t="str">
        <f>+'Calendrier 2021'!E21</f>
        <v>13 fev 2021</v>
      </c>
      <c r="F119" s="77">
        <f>+'Calendrier 2021'!F21</f>
        <v>44268</v>
      </c>
      <c r="G119" s="77">
        <f>+'Calendrier 2021'!G21</f>
        <v>44296</v>
      </c>
      <c r="H119" s="77">
        <f>+'Calendrier 2021'!H21</f>
        <v>44324</v>
      </c>
      <c r="I119" s="77">
        <f>+'Calendrier 2021'!I21</f>
        <v>44359</v>
      </c>
      <c r="J119" s="77">
        <f>+'Calendrier 2021'!J21</f>
        <v>44387</v>
      </c>
      <c r="K119" s="77">
        <f>+'Calendrier 2021'!K21</f>
        <v>44415</v>
      </c>
      <c r="L119" s="77">
        <f>+'Calendrier 2021'!L21</f>
        <v>44450</v>
      </c>
      <c r="M119" s="77">
        <f>+'Calendrier 2021'!M21</f>
        <v>44478</v>
      </c>
      <c r="N119" s="77">
        <f>+'Calendrier 2021'!N21</f>
        <v>44513</v>
      </c>
      <c r="O119" s="78" t="str">
        <f>+'Calendrier 2021'!O21</f>
        <v>11 dec 2021</v>
      </c>
    </row>
    <row r="120" spans="2:16" ht="14" customHeight="1" thickTop="1" thickBot="1" x14ac:dyDescent="0.2">
      <c r="B120" s="18">
        <v>1</v>
      </c>
      <c r="C120" s="100" t="str">
        <f t="shared" ref="C120:C126" si="32">C111</f>
        <v>6 h à 9 h 30</v>
      </c>
      <c r="D120" s="12">
        <v>0</v>
      </c>
      <c r="E120" s="12">
        <v>0</v>
      </c>
      <c r="F120" s="12">
        <v>0</v>
      </c>
      <c r="G120" s="12">
        <v>0</v>
      </c>
      <c r="H120" s="12">
        <v>0</v>
      </c>
      <c r="I120" s="12">
        <v>0</v>
      </c>
      <c r="J120" s="12">
        <v>0</v>
      </c>
      <c r="K120" s="12">
        <v>0</v>
      </c>
      <c r="L120" s="12">
        <v>0</v>
      </c>
      <c r="M120" s="12">
        <v>0</v>
      </c>
      <c r="N120" s="12">
        <v>0</v>
      </c>
      <c r="O120" s="12">
        <v>0</v>
      </c>
      <c r="P120" s="23" t="s">
        <v>2</v>
      </c>
    </row>
    <row r="121" spans="2:16" ht="14" customHeight="1" thickTop="1" thickBot="1" x14ac:dyDescent="0.2">
      <c r="B121" s="18">
        <v>2</v>
      </c>
      <c r="C121" s="102" t="str">
        <f t="shared" si="32"/>
        <v>9 h 30 à 11 h 30</v>
      </c>
      <c r="D121" s="14">
        <v>10</v>
      </c>
      <c r="E121" s="14">
        <v>9</v>
      </c>
      <c r="F121" s="14">
        <v>10</v>
      </c>
      <c r="G121" s="14">
        <v>11</v>
      </c>
      <c r="H121" s="14">
        <v>12</v>
      </c>
      <c r="I121" s="14">
        <v>15</v>
      </c>
      <c r="J121" s="14">
        <v>20</v>
      </c>
      <c r="K121" s="14">
        <v>18</v>
      </c>
      <c r="L121" s="14">
        <v>12</v>
      </c>
      <c r="M121" s="14">
        <v>11</v>
      </c>
      <c r="N121" s="14">
        <v>10</v>
      </c>
      <c r="O121" s="14">
        <v>12</v>
      </c>
    </row>
    <row r="122" spans="2:16" ht="14" customHeight="1" thickTop="1" thickBot="1" x14ac:dyDescent="0.2">
      <c r="B122" s="18">
        <v>3</v>
      </c>
      <c r="C122" s="102" t="str">
        <f t="shared" si="32"/>
        <v>11 h 30 à 14 h 30</v>
      </c>
      <c r="D122" s="14">
        <v>10</v>
      </c>
      <c r="E122" s="14">
        <v>9</v>
      </c>
      <c r="F122" s="14">
        <v>10</v>
      </c>
      <c r="G122" s="14">
        <v>11</v>
      </c>
      <c r="H122" s="14">
        <v>12</v>
      </c>
      <c r="I122" s="14">
        <v>15</v>
      </c>
      <c r="J122" s="14">
        <v>20</v>
      </c>
      <c r="K122" s="14">
        <v>18</v>
      </c>
      <c r="L122" s="14">
        <v>12</v>
      </c>
      <c r="M122" s="14">
        <v>11</v>
      </c>
      <c r="N122" s="14">
        <v>10</v>
      </c>
      <c r="O122" s="14">
        <v>12</v>
      </c>
    </row>
    <row r="123" spans="2:16" ht="14" customHeight="1" thickTop="1" thickBot="1" x14ac:dyDescent="0.2">
      <c r="B123" s="18">
        <v>4</v>
      </c>
      <c r="C123" s="102" t="str">
        <f t="shared" si="32"/>
        <v>14 h 30 à 17 h</v>
      </c>
      <c r="D123" s="14">
        <v>10</v>
      </c>
      <c r="E123" s="14">
        <v>9</v>
      </c>
      <c r="F123" s="14">
        <v>10</v>
      </c>
      <c r="G123" s="14">
        <v>11</v>
      </c>
      <c r="H123" s="14">
        <v>12</v>
      </c>
      <c r="I123" s="14">
        <v>15</v>
      </c>
      <c r="J123" s="14">
        <v>20</v>
      </c>
      <c r="K123" s="14">
        <v>18</v>
      </c>
      <c r="L123" s="14">
        <v>12</v>
      </c>
      <c r="M123" s="14">
        <v>11</v>
      </c>
      <c r="N123" s="14">
        <v>10</v>
      </c>
      <c r="O123" s="14">
        <v>12</v>
      </c>
    </row>
    <row r="124" spans="2:16" ht="14" customHeight="1" thickTop="1" thickBot="1" x14ac:dyDescent="0.2">
      <c r="B124" s="18">
        <v>5</v>
      </c>
      <c r="C124" s="102" t="str">
        <f t="shared" si="32"/>
        <v>17 h à 19 h</v>
      </c>
      <c r="D124" s="14">
        <v>10</v>
      </c>
      <c r="E124" s="14">
        <v>9</v>
      </c>
      <c r="F124" s="14">
        <v>10</v>
      </c>
      <c r="G124" s="14">
        <v>11</v>
      </c>
      <c r="H124" s="14">
        <v>12</v>
      </c>
      <c r="I124" s="14">
        <v>15</v>
      </c>
      <c r="J124" s="14">
        <v>20</v>
      </c>
      <c r="K124" s="14">
        <v>18</v>
      </c>
      <c r="L124" s="14">
        <v>12</v>
      </c>
      <c r="M124" s="14">
        <v>11</v>
      </c>
      <c r="N124" s="14">
        <v>10</v>
      </c>
      <c r="O124" s="14">
        <v>12</v>
      </c>
    </row>
    <row r="125" spans="2:16" ht="14" customHeight="1" thickTop="1" thickBot="1" x14ac:dyDescent="0.2">
      <c r="B125" s="18">
        <v>6</v>
      </c>
      <c r="C125" s="102" t="str">
        <f t="shared" si="32"/>
        <v>19 h à 23 h</v>
      </c>
      <c r="D125" s="14">
        <v>10</v>
      </c>
      <c r="E125" s="14">
        <v>9</v>
      </c>
      <c r="F125" s="14">
        <v>10</v>
      </c>
      <c r="G125" s="14">
        <v>11</v>
      </c>
      <c r="H125" s="14">
        <v>12</v>
      </c>
      <c r="I125" s="14">
        <v>15</v>
      </c>
      <c r="J125" s="14">
        <v>20</v>
      </c>
      <c r="K125" s="14">
        <v>18</v>
      </c>
      <c r="L125" s="14">
        <v>12</v>
      </c>
      <c r="M125" s="14">
        <v>11</v>
      </c>
      <c r="N125" s="14">
        <v>10</v>
      </c>
      <c r="O125" s="14">
        <v>12</v>
      </c>
    </row>
    <row r="126" spans="2:16" ht="14" customHeight="1" thickTop="1" thickBot="1" x14ac:dyDescent="0.2">
      <c r="B126" s="18">
        <v>7</v>
      </c>
      <c r="C126" s="102" t="str">
        <f t="shared" si="32"/>
        <v>23 h à 6 h</v>
      </c>
      <c r="D126" s="14">
        <v>0</v>
      </c>
      <c r="E126" s="14">
        <v>0</v>
      </c>
      <c r="F126" s="14">
        <v>0</v>
      </c>
      <c r="G126" s="14">
        <v>0</v>
      </c>
      <c r="H126" s="14">
        <v>0</v>
      </c>
      <c r="I126" s="14">
        <v>0</v>
      </c>
      <c r="J126" s="14">
        <v>0</v>
      </c>
      <c r="K126" s="14">
        <v>0</v>
      </c>
      <c r="L126" s="14">
        <v>0</v>
      </c>
      <c r="M126" s="14">
        <v>0</v>
      </c>
      <c r="N126" s="14">
        <v>0</v>
      </c>
      <c r="O126" s="14">
        <v>0</v>
      </c>
    </row>
    <row r="127" spans="2:16" ht="14" customHeight="1" thickTop="1" thickBot="1" x14ac:dyDescent="0.2">
      <c r="B127" s="19"/>
      <c r="C127" s="21" t="str">
        <f t="shared" ref="C127" si="33">+C118</f>
        <v>Total</v>
      </c>
      <c r="D127" s="17">
        <f>+D120+D121+D122+D123+D124+D125+D126</f>
        <v>50</v>
      </c>
      <c r="E127" s="17">
        <f>+E120+E121+E122+E123+E124+E125+E126</f>
        <v>45</v>
      </c>
      <c r="F127" s="17">
        <f>+F120+F121+F122+F123+F124+F125+F126</f>
        <v>50</v>
      </c>
      <c r="G127" s="17">
        <f t="shared" ref="G127:N127" si="34">+G120+G121+G122+G123+G124+G125+G126</f>
        <v>55</v>
      </c>
      <c r="H127" s="17">
        <f t="shared" si="34"/>
        <v>60</v>
      </c>
      <c r="I127" s="17">
        <f t="shared" si="34"/>
        <v>75</v>
      </c>
      <c r="J127" s="17">
        <f t="shared" si="34"/>
        <v>100</v>
      </c>
      <c r="K127" s="17">
        <f t="shared" si="34"/>
        <v>90</v>
      </c>
      <c r="L127" s="17">
        <f t="shared" si="34"/>
        <v>60</v>
      </c>
      <c r="M127" s="17">
        <f t="shared" si="34"/>
        <v>55</v>
      </c>
      <c r="N127" s="17">
        <f t="shared" si="34"/>
        <v>50</v>
      </c>
      <c r="O127" s="24">
        <f>+O120+O121+O122+O123+O124+O125+O126</f>
        <v>60</v>
      </c>
    </row>
    <row r="128" spans="2:16" ht="14" customHeight="1" thickTop="1" thickBot="1" x14ac:dyDescent="0.2">
      <c r="B128" s="124" t="s">
        <v>2</v>
      </c>
      <c r="C128" s="125" t="str">
        <f>+'Calendrier 2021'!C22</f>
        <v>Dimanche</v>
      </c>
      <c r="D128" s="77">
        <f>+'Calendrier 2021'!D22</f>
        <v>44206</v>
      </c>
      <c r="E128" s="77" t="str">
        <f>+'Calendrier 2021'!E22</f>
        <v>14 fev 2021</v>
      </c>
      <c r="F128" s="77">
        <f>+'Calendrier 2021'!F22</f>
        <v>44269</v>
      </c>
      <c r="G128" s="77">
        <f>+'Calendrier 2021'!G22</f>
        <v>44297</v>
      </c>
      <c r="H128" s="77">
        <f>+'Calendrier 2021'!H22</f>
        <v>44325</v>
      </c>
      <c r="I128" s="77">
        <f>+'Calendrier 2021'!I22</f>
        <v>44360</v>
      </c>
      <c r="J128" s="77">
        <f>+'Calendrier 2021'!J22</f>
        <v>44388</v>
      </c>
      <c r="K128" s="77">
        <f>+'Calendrier 2021'!K22</f>
        <v>44416</v>
      </c>
      <c r="L128" s="77">
        <f>+'Calendrier 2021'!L22</f>
        <v>44451</v>
      </c>
      <c r="M128" s="77">
        <f>+'Calendrier 2021'!M22</f>
        <v>44479</v>
      </c>
      <c r="N128" s="77">
        <f>+'Calendrier 2021'!N22</f>
        <v>44514</v>
      </c>
      <c r="O128" s="78" t="str">
        <f>+'Calendrier 2021'!O22</f>
        <v>12 dec 2021</v>
      </c>
    </row>
    <row r="129" spans="2:15" ht="14" customHeight="1" thickTop="1" thickBot="1" x14ac:dyDescent="0.2">
      <c r="B129" s="121">
        <v>1</v>
      </c>
      <c r="C129" s="100" t="str">
        <f t="shared" ref="C129:C135" si="35">C120</f>
        <v>6 h à 9 h 30</v>
      </c>
      <c r="D129" s="12">
        <v>0</v>
      </c>
      <c r="E129" s="12">
        <v>0</v>
      </c>
      <c r="F129" s="12">
        <v>0</v>
      </c>
      <c r="G129" s="12">
        <v>0</v>
      </c>
      <c r="H129" s="12">
        <v>0</v>
      </c>
      <c r="I129" s="12">
        <v>0</v>
      </c>
      <c r="J129" s="12">
        <v>0</v>
      </c>
      <c r="K129" s="12">
        <v>0</v>
      </c>
      <c r="L129" s="12">
        <v>0</v>
      </c>
      <c r="M129" s="12">
        <v>0</v>
      </c>
      <c r="N129" s="12">
        <v>0</v>
      </c>
      <c r="O129" s="12">
        <v>0</v>
      </c>
    </row>
    <row r="130" spans="2:15" ht="14" customHeight="1" thickTop="1" thickBot="1" x14ac:dyDescent="0.2">
      <c r="B130" s="18">
        <v>2</v>
      </c>
      <c r="C130" s="102" t="str">
        <f t="shared" si="35"/>
        <v>9 h 30 à 11 h 30</v>
      </c>
      <c r="D130" s="14">
        <v>10</v>
      </c>
      <c r="E130" s="14">
        <v>9</v>
      </c>
      <c r="F130" s="14">
        <v>10</v>
      </c>
      <c r="G130" s="14">
        <v>11</v>
      </c>
      <c r="H130" s="14">
        <v>12</v>
      </c>
      <c r="I130" s="14">
        <v>15</v>
      </c>
      <c r="J130" s="14">
        <v>20</v>
      </c>
      <c r="K130" s="14">
        <v>18</v>
      </c>
      <c r="L130" s="14">
        <v>12</v>
      </c>
      <c r="M130" s="14">
        <v>11</v>
      </c>
      <c r="N130" s="14">
        <v>10</v>
      </c>
      <c r="O130" s="14">
        <v>12</v>
      </c>
    </row>
    <row r="131" spans="2:15" ht="14" customHeight="1" thickTop="1" thickBot="1" x14ac:dyDescent="0.2">
      <c r="B131" s="18">
        <v>3</v>
      </c>
      <c r="C131" s="102" t="str">
        <f t="shared" si="35"/>
        <v>11 h 30 à 14 h 30</v>
      </c>
      <c r="D131" s="14">
        <v>10</v>
      </c>
      <c r="E131" s="14">
        <v>9</v>
      </c>
      <c r="F131" s="14">
        <v>10</v>
      </c>
      <c r="G131" s="14">
        <v>11</v>
      </c>
      <c r="H131" s="14">
        <v>12</v>
      </c>
      <c r="I131" s="14">
        <v>15</v>
      </c>
      <c r="J131" s="14">
        <v>20</v>
      </c>
      <c r="K131" s="14">
        <v>18</v>
      </c>
      <c r="L131" s="14">
        <v>12</v>
      </c>
      <c r="M131" s="14">
        <v>11</v>
      </c>
      <c r="N131" s="14">
        <v>10</v>
      </c>
      <c r="O131" s="14">
        <v>12</v>
      </c>
    </row>
    <row r="132" spans="2:15" ht="14" customHeight="1" thickTop="1" thickBot="1" x14ac:dyDescent="0.2">
      <c r="B132" s="18">
        <v>4</v>
      </c>
      <c r="C132" s="102" t="str">
        <f t="shared" si="35"/>
        <v>14 h 30 à 17 h</v>
      </c>
      <c r="D132" s="14">
        <v>10</v>
      </c>
      <c r="E132" s="14">
        <v>9</v>
      </c>
      <c r="F132" s="14">
        <v>10</v>
      </c>
      <c r="G132" s="14">
        <v>11</v>
      </c>
      <c r="H132" s="14">
        <v>12</v>
      </c>
      <c r="I132" s="14">
        <v>15</v>
      </c>
      <c r="J132" s="14">
        <v>20</v>
      </c>
      <c r="K132" s="14">
        <v>18</v>
      </c>
      <c r="L132" s="14">
        <v>12</v>
      </c>
      <c r="M132" s="14">
        <v>11</v>
      </c>
      <c r="N132" s="14">
        <v>10</v>
      </c>
      <c r="O132" s="14">
        <v>12</v>
      </c>
    </row>
    <row r="133" spans="2:15" ht="14" customHeight="1" thickTop="1" thickBot="1" x14ac:dyDescent="0.2">
      <c r="B133" s="18">
        <v>5</v>
      </c>
      <c r="C133" s="102" t="str">
        <f t="shared" si="35"/>
        <v>17 h à 19 h</v>
      </c>
      <c r="D133" s="14">
        <v>10</v>
      </c>
      <c r="E133" s="14">
        <v>9</v>
      </c>
      <c r="F133" s="14">
        <v>10</v>
      </c>
      <c r="G133" s="14">
        <v>11</v>
      </c>
      <c r="H133" s="14">
        <v>12</v>
      </c>
      <c r="I133" s="14">
        <v>15</v>
      </c>
      <c r="J133" s="14">
        <v>20</v>
      </c>
      <c r="K133" s="14">
        <v>18</v>
      </c>
      <c r="L133" s="14">
        <v>12</v>
      </c>
      <c r="M133" s="14">
        <v>11</v>
      </c>
      <c r="N133" s="14">
        <v>10</v>
      </c>
      <c r="O133" s="14">
        <v>12</v>
      </c>
    </row>
    <row r="134" spans="2:15" ht="14" customHeight="1" thickTop="1" thickBot="1" x14ac:dyDescent="0.2">
      <c r="B134" s="18">
        <v>6</v>
      </c>
      <c r="C134" s="102" t="str">
        <f t="shared" si="35"/>
        <v>19 h à 23 h</v>
      </c>
      <c r="D134" s="14">
        <v>10</v>
      </c>
      <c r="E134" s="14">
        <v>9</v>
      </c>
      <c r="F134" s="14">
        <v>10</v>
      </c>
      <c r="G134" s="14">
        <v>11</v>
      </c>
      <c r="H134" s="14">
        <v>12</v>
      </c>
      <c r="I134" s="14">
        <v>15</v>
      </c>
      <c r="J134" s="14">
        <v>20</v>
      </c>
      <c r="K134" s="14">
        <v>18</v>
      </c>
      <c r="L134" s="14">
        <v>12</v>
      </c>
      <c r="M134" s="14">
        <v>11</v>
      </c>
      <c r="N134" s="14">
        <v>10</v>
      </c>
      <c r="O134" s="14">
        <v>12</v>
      </c>
    </row>
    <row r="135" spans="2:15" ht="14" customHeight="1" thickTop="1" thickBot="1" x14ac:dyDescent="0.2">
      <c r="B135" s="18">
        <v>7</v>
      </c>
      <c r="C135" s="102" t="str">
        <f t="shared" si="35"/>
        <v>23 h à 6 h</v>
      </c>
      <c r="D135" s="14">
        <v>0</v>
      </c>
      <c r="E135" s="14">
        <v>0</v>
      </c>
      <c r="F135" s="14">
        <v>0</v>
      </c>
      <c r="G135" s="14">
        <v>0</v>
      </c>
      <c r="H135" s="14">
        <v>0</v>
      </c>
      <c r="I135" s="14">
        <v>0</v>
      </c>
      <c r="J135" s="14">
        <v>0</v>
      </c>
      <c r="K135" s="14">
        <v>0</v>
      </c>
      <c r="L135" s="14">
        <v>0</v>
      </c>
      <c r="M135" s="14">
        <v>0</v>
      </c>
      <c r="N135" s="14">
        <v>0</v>
      </c>
      <c r="O135" s="14">
        <v>0</v>
      </c>
    </row>
    <row r="136" spans="2:15" ht="14" customHeight="1" thickTop="1" thickBot="1" x14ac:dyDescent="0.2">
      <c r="B136" s="18"/>
      <c r="C136" s="16" t="str">
        <f t="shared" ref="C136" si="36">+C127</f>
        <v>Total</v>
      </c>
      <c r="D136" s="24">
        <f t="shared" ref="D136:L136" si="37">+D129+D130+D131+D132+D133+D134+D135</f>
        <v>50</v>
      </c>
      <c r="E136" s="24">
        <f t="shared" si="37"/>
        <v>45</v>
      </c>
      <c r="F136" s="24">
        <f t="shared" si="37"/>
        <v>50</v>
      </c>
      <c r="G136" s="24">
        <f t="shared" si="37"/>
        <v>55</v>
      </c>
      <c r="H136" s="24">
        <f t="shared" si="37"/>
        <v>60</v>
      </c>
      <c r="I136" s="24">
        <f t="shared" si="37"/>
        <v>75</v>
      </c>
      <c r="J136" s="24">
        <f t="shared" si="37"/>
        <v>100</v>
      </c>
      <c r="K136" s="24">
        <f t="shared" si="37"/>
        <v>90</v>
      </c>
      <c r="L136" s="24">
        <f t="shared" si="37"/>
        <v>60</v>
      </c>
      <c r="M136" s="24">
        <f>+M129+M130+M131+M132+M133+M134+M135</f>
        <v>55</v>
      </c>
      <c r="N136" s="24">
        <f>+N129+N130+N131+N132+N133+N134+N135</f>
        <v>50</v>
      </c>
      <c r="O136" s="24">
        <f>+O129+O130+O131+O132+O133+O134+O135</f>
        <v>60</v>
      </c>
    </row>
    <row r="137" spans="2:15" ht="14" customHeight="1" thickTop="1" thickBot="1" x14ac:dyDescent="0.2">
      <c r="B137" s="793" t="s">
        <v>18</v>
      </c>
      <c r="C137" s="794"/>
      <c r="D137" s="794"/>
      <c r="E137" s="794"/>
      <c r="F137" s="794"/>
      <c r="G137" s="794"/>
      <c r="H137" s="794"/>
      <c r="I137" s="794"/>
      <c r="J137" s="794"/>
      <c r="K137" s="794"/>
      <c r="L137" s="794"/>
      <c r="M137" s="794"/>
      <c r="N137" s="794"/>
      <c r="O137" s="795"/>
    </row>
    <row r="138" spans="2:15" ht="14" customHeight="1" thickTop="1" thickBot="1" x14ac:dyDescent="0.2">
      <c r="B138" s="128">
        <f>+'Calendrier 2021'!B23</f>
        <v>3</v>
      </c>
      <c r="C138" s="129" t="str">
        <f>+'Calendrier 2021'!C23</f>
        <v>Lundi</v>
      </c>
      <c r="D138" s="130">
        <f>+'Calendrier 2021'!D23</f>
        <v>44207</v>
      </c>
      <c r="E138" s="130" t="str">
        <f>+'Calendrier 2021'!E23</f>
        <v>15 fev 2021</v>
      </c>
      <c r="F138" s="130">
        <f>+'Calendrier 2021'!F23</f>
        <v>44270</v>
      </c>
      <c r="G138" s="130">
        <f>+'Calendrier 2021'!G23</f>
        <v>44298</v>
      </c>
      <c r="H138" s="130">
        <f>+'Calendrier 2021'!H23</f>
        <v>44326</v>
      </c>
      <c r="I138" s="130">
        <f>+'Calendrier 2021'!I23</f>
        <v>44361</v>
      </c>
      <c r="J138" s="130">
        <f>+'Calendrier 2021'!J23</f>
        <v>44389</v>
      </c>
      <c r="K138" s="130">
        <f>+'Calendrier 2021'!K23</f>
        <v>44417</v>
      </c>
      <c r="L138" s="130">
        <f>+'Calendrier 2021'!L23</f>
        <v>44452</v>
      </c>
      <c r="M138" s="130">
        <f>+'Calendrier 2021'!M23</f>
        <v>44480</v>
      </c>
      <c r="N138" s="130">
        <f>+'Calendrier 2021'!N23</f>
        <v>44515</v>
      </c>
      <c r="O138" s="131" t="str">
        <f>+'Calendrier 2021'!O23</f>
        <v>13 dec 2021</v>
      </c>
    </row>
    <row r="139" spans="2:15" ht="14" customHeight="1" thickTop="1" x14ac:dyDescent="0.15">
      <c r="B139" s="11">
        <v>1</v>
      </c>
      <c r="C139" s="100" t="str">
        <f t="shared" ref="C139:C145" si="38">C129</f>
        <v>6 h à 9 h 30</v>
      </c>
      <c r="D139" s="12">
        <v>0</v>
      </c>
      <c r="E139" s="12">
        <v>0</v>
      </c>
      <c r="F139" s="12">
        <v>0</v>
      </c>
      <c r="G139" s="12">
        <v>0</v>
      </c>
      <c r="H139" s="12">
        <v>0</v>
      </c>
      <c r="I139" s="12">
        <v>0</v>
      </c>
      <c r="J139" s="12">
        <v>0</v>
      </c>
      <c r="K139" s="12">
        <v>0</v>
      </c>
      <c r="L139" s="12">
        <v>0</v>
      </c>
      <c r="M139" s="12">
        <v>0</v>
      </c>
      <c r="N139" s="12">
        <v>0</v>
      </c>
      <c r="O139" s="12">
        <v>0</v>
      </c>
    </row>
    <row r="140" spans="2:15" ht="14" customHeight="1" x14ac:dyDescent="0.15">
      <c r="B140" s="13">
        <v>2</v>
      </c>
      <c r="C140" s="102" t="str">
        <f t="shared" si="38"/>
        <v>9 h 30 à 11 h 30</v>
      </c>
      <c r="D140" s="14">
        <v>10</v>
      </c>
      <c r="E140" s="14">
        <v>9</v>
      </c>
      <c r="F140" s="14">
        <v>10</v>
      </c>
      <c r="G140" s="14">
        <v>11</v>
      </c>
      <c r="H140" s="14">
        <v>12</v>
      </c>
      <c r="I140" s="14">
        <v>15</v>
      </c>
      <c r="J140" s="14">
        <v>20</v>
      </c>
      <c r="K140" s="14">
        <v>18</v>
      </c>
      <c r="L140" s="14">
        <v>12</v>
      </c>
      <c r="M140" s="14">
        <v>11</v>
      </c>
      <c r="N140" s="14">
        <v>10</v>
      </c>
      <c r="O140" s="14">
        <v>12</v>
      </c>
    </row>
    <row r="141" spans="2:15" ht="14" customHeight="1" x14ac:dyDescent="0.15">
      <c r="B141" s="13">
        <v>3</v>
      </c>
      <c r="C141" s="102" t="str">
        <f t="shared" si="38"/>
        <v>11 h 30 à 14 h 30</v>
      </c>
      <c r="D141" s="14">
        <v>10</v>
      </c>
      <c r="E141" s="14">
        <v>9</v>
      </c>
      <c r="F141" s="14">
        <v>10</v>
      </c>
      <c r="G141" s="14">
        <v>11</v>
      </c>
      <c r="H141" s="14">
        <v>12</v>
      </c>
      <c r="I141" s="14">
        <v>15</v>
      </c>
      <c r="J141" s="14">
        <v>20</v>
      </c>
      <c r="K141" s="14">
        <v>18</v>
      </c>
      <c r="L141" s="14">
        <v>12</v>
      </c>
      <c r="M141" s="14">
        <v>11</v>
      </c>
      <c r="N141" s="14">
        <v>10</v>
      </c>
      <c r="O141" s="14">
        <v>12</v>
      </c>
    </row>
    <row r="142" spans="2:15" ht="14" customHeight="1" x14ac:dyDescent="0.15">
      <c r="B142" s="13">
        <v>4</v>
      </c>
      <c r="C142" s="102" t="str">
        <f t="shared" si="38"/>
        <v>14 h 30 à 17 h</v>
      </c>
      <c r="D142" s="14">
        <v>10</v>
      </c>
      <c r="E142" s="14">
        <v>9</v>
      </c>
      <c r="F142" s="14">
        <v>10</v>
      </c>
      <c r="G142" s="14">
        <v>11</v>
      </c>
      <c r="H142" s="14">
        <v>12</v>
      </c>
      <c r="I142" s="14">
        <v>15</v>
      </c>
      <c r="J142" s="14">
        <v>20</v>
      </c>
      <c r="K142" s="14">
        <v>18</v>
      </c>
      <c r="L142" s="14">
        <v>12</v>
      </c>
      <c r="M142" s="14">
        <v>11</v>
      </c>
      <c r="N142" s="14">
        <v>10</v>
      </c>
      <c r="O142" s="14">
        <v>12</v>
      </c>
    </row>
    <row r="143" spans="2:15" ht="14" customHeight="1" x14ac:dyDescent="0.15">
      <c r="B143" s="13">
        <v>5</v>
      </c>
      <c r="C143" s="102" t="str">
        <f t="shared" si="38"/>
        <v>17 h à 19 h</v>
      </c>
      <c r="D143" s="14">
        <v>10</v>
      </c>
      <c r="E143" s="14">
        <v>9</v>
      </c>
      <c r="F143" s="14">
        <v>10</v>
      </c>
      <c r="G143" s="14">
        <v>11</v>
      </c>
      <c r="H143" s="14">
        <v>12</v>
      </c>
      <c r="I143" s="14">
        <v>15</v>
      </c>
      <c r="J143" s="14">
        <v>20</v>
      </c>
      <c r="K143" s="14">
        <v>18</v>
      </c>
      <c r="L143" s="14">
        <v>12</v>
      </c>
      <c r="M143" s="14">
        <v>11</v>
      </c>
      <c r="N143" s="14">
        <v>10</v>
      </c>
      <c r="O143" s="14">
        <v>12</v>
      </c>
    </row>
    <row r="144" spans="2:15" ht="14" customHeight="1" x14ac:dyDescent="0.15">
      <c r="B144" s="13">
        <v>6</v>
      </c>
      <c r="C144" s="102" t="str">
        <f t="shared" si="38"/>
        <v>19 h à 23 h</v>
      </c>
      <c r="D144" s="14">
        <v>10</v>
      </c>
      <c r="E144" s="14">
        <v>9</v>
      </c>
      <c r="F144" s="14">
        <v>10</v>
      </c>
      <c r="G144" s="14">
        <v>11</v>
      </c>
      <c r="H144" s="14">
        <v>12</v>
      </c>
      <c r="I144" s="14">
        <v>15</v>
      </c>
      <c r="J144" s="14">
        <v>20</v>
      </c>
      <c r="K144" s="14">
        <v>18</v>
      </c>
      <c r="L144" s="14">
        <v>12</v>
      </c>
      <c r="M144" s="14">
        <v>11</v>
      </c>
      <c r="N144" s="14">
        <v>10</v>
      </c>
      <c r="O144" s="14">
        <v>12</v>
      </c>
    </row>
    <row r="145" spans="2:15" ht="14" customHeight="1" x14ac:dyDescent="0.15">
      <c r="B145" s="13">
        <v>7</v>
      </c>
      <c r="C145" s="102" t="str">
        <f t="shared" si="38"/>
        <v>23 h à 6 h</v>
      </c>
      <c r="D145" s="14">
        <v>0</v>
      </c>
      <c r="E145" s="14">
        <v>0</v>
      </c>
      <c r="F145" s="14">
        <v>0</v>
      </c>
      <c r="G145" s="14">
        <v>0</v>
      </c>
      <c r="H145" s="14">
        <v>0</v>
      </c>
      <c r="I145" s="14">
        <v>0</v>
      </c>
      <c r="J145" s="14">
        <v>0</v>
      </c>
      <c r="K145" s="14">
        <v>0</v>
      </c>
      <c r="L145" s="14">
        <v>0</v>
      </c>
      <c r="M145" s="14">
        <v>0</v>
      </c>
      <c r="N145" s="14">
        <v>0</v>
      </c>
      <c r="O145" s="14">
        <v>0</v>
      </c>
    </row>
    <row r="146" spans="2:15" ht="14" customHeight="1" thickBot="1" x14ac:dyDescent="0.2">
      <c r="B146" s="15"/>
      <c r="C146" s="16" t="str">
        <f>+C136</f>
        <v>Total</v>
      </c>
      <c r="D146" s="24">
        <f t="shared" ref="D146:L146" si="39">+D139+D140+D141+D142+D143+D144+D145</f>
        <v>50</v>
      </c>
      <c r="E146" s="24">
        <f t="shared" si="39"/>
        <v>45</v>
      </c>
      <c r="F146" s="24">
        <f t="shared" si="39"/>
        <v>50</v>
      </c>
      <c r="G146" s="24">
        <f t="shared" si="39"/>
        <v>55</v>
      </c>
      <c r="H146" s="24">
        <f t="shared" si="39"/>
        <v>60</v>
      </c>
      <c r="I146" s="24">
        <f t="shared" si="39"/>
        <v>75</v>
      </c>
      <c r="J146" s="24">
        <f t="shared" si="39"/>
        <v>100</v>
      </c>
      <c r="K146" s="24">
        <f t="shared" si="39"/>
        <v>90</v>
      </c>
      <c r="L146" s="24">
        <f t="shared" si="39"/>
        <v>60</v>
      </c>
      <c r="M146" s="24">
        <f>+M139+M140+M141+M142+M143+M144+M145</f>
        <v>55</v>
      </c>
      <c r="N146" s="24">
        <f>+N139+N140+N141+N142+N143+N144+N145</f>
        <v>50</v>
      </c>
      <c r="O146" s="24">
        <f>+O139+O140+O141+O142+O143+O144+O145</f>
        <v>60</v>
      </c>
    </row>
    <row r="147" spans="2:15" ht="14" customHeight="1" thickTop="1" thickBot="1" x14ac:dyDescent="0.2">
      <c r="B147" s="124" t="s">
        <v>2</v>
      </c>
      <c r="C147" s="125" t="str">
        <f>+'Calendrier 2021'!C24</f>
        <v>Mardi</v>
      </c>
      <c r="D147" s="77">
        <f>+'Calendrier 2021'!D24</f>
        <v>44208</v>
      </c>
      <c r="E147" s="77" t="str">
        <f>+'Calendrier 2021'!E24</f>
        <v>16 fev 2021</v>
      </c>
      <c r="F147" s="77">
        <f>+'Calendrier 2021'!F24</f>
        <v>44271</v>
      </c>
      <c r="G147" s="77">
        <f>'Calendrier 2021'!G24</f>
        <v>44299</v>
      </c>
      <c r="H147" s="77">
        <f>+'Calendrier 2021'!H24</f>
        <v>44327</v>
      </c>
      <c r="I147" s="77">
        <f>+'Calendrier 2021'!I24</f>
        <v>44362</v>
      </c>
      <c r="J147" s="77">
        <f>+'Calendrier 2021'!J24</f>
        <v>44390</v>
      </c>
      <c r="K147" s="77">
        <f>+'Calendrier 2021'!K24</f>
        <v>44418</v>
      </c>
      <c r="L147" s="77">
        <f>+'Calendrier 2021'!L24</f>
        <v>44453</v>
      </c>
      <c r="M147" s="77">
        <f>+'Calendrier 2021'!M24</f>
        <v>44481</v>
      </c>
      <c r="N147" s="77">
        <f>+'Calendrier 2021'!N24</f>
        <v>44516</v>
      </c>
      <c r="O147" s="78" t="str">
        <f>+'Calendrier 2021'!O24</f>
        <v>14 dec 2021</v>
      </c>
    </row>
    <row r="148" spans="2:15" ht="14" customHeight="1" thickTop="1" thickBot="1" x14ac:dyDescent="0.2">
      <c r="B148" s="18">
        <v>1</v>
      </c>
      <c r="C148" s="100" t="str">
        <f t="shared" ref="C148:C154" si="40">C139</f>
        <v>6 h à 9 h 30</v>
      </c>
      <c r="D148" s="12">
        <v>0</v>
      </c>
      <c r="E148" s="12">
        <v>0</v>
      </c>
      <c r="F148" s="12">
        <v>0</v>
      </c>
      <c r="G148" s="12">
        <v>0</v>
      </c>
      <c r="H148" s="12">
        <v>0</v>
      </c>
      <c r="I148" s="12">
        <v>0</v>
      </c>
      <c r="J148" s="12">
        <v>0</v>
      </c>
      <c r="K148" s="12">
        <v>0</v>
      </c>
      <c r="L148" s="12">
        <v>0</v>
      </c>
      <c r="M148" s="12">
        <v>0</v>
      </c>
      <c r="N148" s="12">
        <v>0</v>
      </c>
      <c r="O148" s="12">
        <v>0</v>
      </c>
    </row>
    <row r="149" spans="2:15" ht="14" customHeight="1" thickTop="1" thickBot="1" x14ac:dyDescent="0.2">
      <c r="B149" s="121">
        <v>2</v>
      </c>
      <c r="C149" s="102" t="str">
        <f t="shared" si="40"/>
        <v>9 h 30 à 11 h 30</v>
      </c>
      <c r="D149" s="14">
        <v>10</v>
      </c>
      <c r="E149" s="14">
        <v>9</v>
      </c>
      <c r="F149" s="14">
        <v>10</v>
      </c>
      <c r="G149" s="14">
        <v>11</v>
      </c>
      <c r="H149" s="14">
        <v>12</v>
      </c>
      <c r="I149" s="14">
        <v>15</v>
      </c>
      <c r="J149" s="14">
        <v>20</v>
      </c>
      <c r="K149" s="14">
        <v>18</v>
      </c>
      <c r="L149" s="14">
        <v>12</v>
      </c>
      <c r="M149" s="14">
        <v>11</v>
      </c>
      <c r="N149" s="14">
        <v>10</v>
      </c>
      <c r="O149" s="14">
        <v>12</v>
      </c>
    </row>
    <row r="150" spans="2:15" ht="14" customHeight="1" thickTop="1" thickBot="1" x14ac:dyDescent="0.2">
      <c r="B150" s="121">
        <v>3</v>
      </c>
      <c r="C150" s="102" t="str">
        <f t="shared" si="40"/>
        <v>11 h 30 à 14 h 30</v>
      </c>
      <c r="D150" s="14">
        <v>10</v>
      </c>
      <c r="E150" s="14">
        <v>9</v>
      </c>
      <c r="F150" s="14">
        <v>10</v>
      </c>
      <c r="G150" s="14">
        <v>11</v>
      </c>
      <c r="H150" s="14">
        <v>12</v>
      </c>
      <c r="I150" s="14">
        <v>15</v>
      </c>
      <c r="J150" s="14">
        <v>20</v>
      </c>
      <c r="K150" s="14">
        <v>18</v>
      </c>
      <c r="L150" s="14">
        <v>12</v>
      </c>
      <c r="M150" s="14">
        <v>11</v>
      </c>
      <c r="N150" s="14">
        <v>10</v>
      </c>
      <c r="O150" s="14">
        <v>12</v>
      </c>
    </row>
    <row r="151" spans="2:15" ht="14" customHeight="1" thickTop="1" thickBot="1" x14ac:dyDescent="0.2">
      <c r="B151" s="121">
        <v>4</v>
      </c>
      <c r="C151" s="102" t="str">
        <f t="shared" si="40"/>
        <v>14 h 30 à 17 h</v>
      </c>
      <c r="D151" s="14">
        <v>10</v>
      </c>
      <c r="E151" s="14">
        <v>9</v>
      </c>
      <c r="F151" s="14">
        <v>10</v>
      </c>
      <c r="G151" s="14">
        <v>11</v>
      </c>
      <c r="H151" s="14">
        <v>12</v>
      </c>
      <c r="I151" s="14">
        <v>15</v>
      </c>
      <c r="J151" s="14">
        <v>20</v>
      </c>
      <c r="K151" s="14">
        <v>18</v>
      </c>
      <c r="L151" s="14">
        <v>12</v>
      </c>
      <c r="M151" s="14">
        <v>11</v>
      </c>
      <c r="N151" s="14">
        <v>10</v>
      </c>
      <c r="O151" s="14">
        <v>12</v>
      </c>
    </row>
    <row r="152" spans="2:15" ht="14" customHeight="1" thickTop="1" thickBot="1" x14ac:dyDescent="0.2">
      <c r="B152" s="121">
        <v>5</v>
      </c>
      <c r="C152" s="102" t="str">
        <f t="shared" si="40"/>
        <v>17 h à 19 h</v>
      </c>
      <c r="D152" s="14">
        <v>10</v>
      </c>
      <c r="E152" s="14">
        <v>9</v>
      </c>
      <c r="F152" s="14">
        <v>10</v>
      </c>
      <c r="G152" s="14">
        <v>11</v>
      </c>
      <c r="H152" s="14">
        <v>12</v>
      </c>
      <c r="I152" s="14">
        <v>15</v>
      </c>
      <c r="J152" s="14">
        <v>20</v>
      </c>
      <c r="K152" s="14">
        <v>18</v>
      </c>
      <c r="L152" s="14">
        <v>12</v>
      </c>
      <c r="M152" s="14">
        <v>11</v>
      </c>
      <c r="N152" s="14">
        <v>10</v>
      </c>
      <c r="O152" s="14">
        <v>12</v>
      </c>
    </row>
    <row r="153" spans="2:15" ht="14" customHeight="1" thickTop="1" thickBot="1" x14ac:dyDescent="0.2">
      <c r="B153" s="121">
        <v>6</v>
      </c>
      <c r="C153" s="102" t="str">
        <f t="shared" si="40"/>
        <v>19 h à 23 h</v>
      </c>
      <c r="D153" s="14">
        <v>10</v>
      </c>
      <c r="E153" s="14">
        <v>9</v>
      </c>
      <c r="F153" s="14">
        <v>10</v>
      </c>
      <c r="G153" s="14">
        <v>11</v>
      </c>
      <c r="H153" s="14">
        <v>12</v>
      </c>
      <c r="I153" s="14">
        <v>15</v>
      </c>
      <c r="J153" s="14">
        <v>20</v>
      </c>
      <c r="K153" s="14">
        <v>18</v>
      </c>
      <c r="L153" s="14">
        <v>12</v>
      </c>
      <c r="M153" s="14">
        <v>11</v>
      </c>
      <c r="N153" s="14">
        <v>10</v>
      </c>
      <c r="O153" s="14">
        <v>12</v>
      </c>
    </row>
    <row r="154" spans="2:15" ht="14" customHeight="1" thickTop="1" thickBot="1" x14ac:dyDescent="0.2">
      <c r="B154" s="121">
        <v>7</v>
      </c>
      <c r="C154" s="102" t="str">
        <f t="shared" si="40"/>
        <v>23 h à 6 h</v>
      </c>
      <c r="D154" s="14">
        <v>0</v>
      </c>
      <c r="E154" s="14">
        <v>0</v>
      </c>
      <c r="F154" s="14">
        <v>0</v>
      </c>
      <c r="G154" s="14">
        <v>0</v>
      </c>
      <c r="H154" s="14">
        <v>0</v>
      </c>
      <c r="I154" s="14">
        <v>0</v>
      </c>
      <c r="J154" s="14">
        <v>0</v>
      </c>
      <c r="K154" s="14">
        <v>0</v>
      </c>
      <c r="L154" s="14">
        <v>0</v>
      </c>
      <c r="M154" s="14">
        <v>0</v>
      </c>
      <c r="N154" s="14">
        <v>0</v>
      </c>
      <c r="O154" s="14">
        <v>0</v>
      </c>
    </row>
    <row r="155" spans="2:15" ht="14" customHeight="1" thickTop="1" thickBot="1" x14ac:dyDescent="0.2">
      <c r="B155" s="19"/>
      <c r="C155" s="298" t="str">
        <f t="shared" ref="C155" si="41">+C146</f>
        <v>Total</v>
      </c>
      <c r="D155" s="24">
        <f t="shared" ref="D155:L155" si="42">+D148+D149+D150+D151+D152+D153+D154</f>
        <v>50</v>
      </c>
      <c r="E155" s="24">
        <f t="shared" si="42"/>
        <v>45</v>
      </c>
      <c r="F155" s="24">
        <f t="shared" si="42"/>
        <v>50</v>
      </c>
      <c r="G155" s="24">
        <f t="shared" si="42"/>
        <v>55</v>
      </c>
      <c r="H155" s="24">
        <f t="shared" si="42"/>
        <v>60</v>
      </c>
      <c r="I155" s="24">
        <f t="shared" si="42"/>
        <v>75</v>
      </c>
      <c r="J155" s="24">
        <f t="shared" si="42"/>
        <v>100</v>
      </c>
      <c r="K155" s="24">
        <f t="shared" si="42"/>
        <v>90</v>
      </c>
      <c r="L155" s="24">
        <f t="shared" si="42"/>
        <v>60</v>
      </c>
      <c r="M155" s="24">
        <f>+M148+M149+M150+M151+M152+M153+M154</f>
        <v>55</v>
      </c>
      <c r="N155" s="24">
        <f>+N148+N149+N150+N151+N152+N153+N154</f>
        <v>50</v>
      </c>
      <c r="O155" s="24">
        <f>+O148+O149+O150+O151+O152+O153+O154</f>
        <v>60</v>
      </c>
    </row>
    <row r="156" spans="2:15" ht="14" customHeight="1" thickTop="1" thickBot="1" x14ac:dyDescent="0.2">
      <c r="B156" s="124" t="s">
        <v>2</v>
      </c>
      <c r="C156" s="299" t="str">
        <f>+'Calendrier 2021'!C25</f>
        <v>Mercredi</v>
      </c>
      <c r="D156" s="77">
        <f>+'Calendrier 2021'!D25</f>
        <v>44209</v>
      </c>
      <c r="E156" s="77" t="str">
        <f>+'Calendrier 2021'!E25</f>
        <v>17 fev 2021</v>
      </c>
      <c r="F156" s="77">
        <f>+'Calendrier 2021'!F25</f>
        <v>44272</v>
      </c>
      <c r="G156" s="77">
        <f>+'Calendrier 2021'!G25</f>
        <v>44300</v>
      </c>
      <c r="H156" s="77">
        <f>+'Calendrier 2021'!H25</f>
        <v>44328</v>
      </c>
      <c r="I156" s="77">
        <f>+'Calendrier 2021'!I25</f>
        <v>44363</v>
      </c>
      <c r="J156" s="77">
        <f>+'Calendrier 2021'!J25</f>
        <v>44391</v>
      </c>
      <c r="K156" s="77">
        <f>+'Calendrier 2021'!K25</f>
        <v>44419</v>
      </c>
      <c r="L156" s="77">
        <f>+'Calendrier 2021'!L25</f>
        <v>44454</v>
      </c>
      <c r="M156" s="77">
        <f>+'Calendrier 2021'!M25</f>
        <v>44482</v>
      </c>
      <c r="N156" s="77">
        <f>+'Calendrier 2021'!N25</f>
        <v>44517</v>
      </c>
      <c r="O156" s="78" t="str">
        <f>+'Calendrier 2021'!O25</f>
        <v>15 dec 2021</v>
      </c>
    </row>
    <row r="157" spans="2:15" ht="14" customHeight="1" thickTop="1" thickBot="1" x14ac:dyDescent="0.2">
      <c r="B157" s="18">
        <v>1</v>
      </c>
      <c r="C157" s="100" t="str">
        <f t="shared" ref="C157:C163" si="43">C148</f>
        <v>6 h à 9 h 30</v>
      </c>
      <c r="D157" s="12">
        <v>0</v>
      </c>
      <c r="E157" s="12">
        <v>0</v>
      </c>
      <c r="F157" s="12">
        <v>0</v>
      </c>
      <c r="G157" s="12">
        <v>0</v>
      </c>
      <c r="H157" s="12">
        <v>0</v>
      </c>
      <c r="I157" s="12">
        <v>0</v>
      </c>
      <c r="J157" s="12">
        <v>0</v>
      </c>
      <c r="K157" s="12">
        <v>0</v>
      </c>
      <c r="L157" s="12">
        <v>0</v>
      </c>
      <c r="M157" s="12">
        <v>0</v>
      </c>
      <c r="N157" s="12">
        <v>0</v>
      </c>
      <c r="O157" s="12">
        <v>0</v>
      </c>
    </row>
    <row r="158" spans="2:15" ht="14" customHeight="1" thickTop="1" thickBot="1" x14ac:dyDescent="0.2">
      <c r="B158" s="121">
        <v>2</v>
      </c>
      <c r="C158" s="102" t="str">
        <f t="shared" si="43"/>
        <v>9 h 30 à 11 h 30</v>
      </c>
      <c r="D158" s="14">
        <v>10</v>
      </c>
      <c r="E158" s="14">
        <v>9</v>
      </c>
      <c r="F158" s="14">
        <v>10</v>
      </c>
      <c r="G158" s="14">
        <v>11</v>
      </c>
      <c r="H158" s="14">
        <v>12</v>
      </c>
      <c r="I158" s="14">
        <v>15</v>
      </c>
      <c r="J158" s="14">
        <v>20</v>
      </c>
      <c r="K158" s="14">
        <v>18</v>
      </c>
      <c r="L158" s="14">
        <v>12</v>
      </c>
      <c r="M158" s="14">
        <v>11</v>
      </c>
      <c r="N158" s="14">
        <v>10</v>
      </c>
      <c r="O158" s="14">
        <v>12</v>
      </c>
    </row>
    <row r="159" spans="2:15" ht="14" customHeight="1" thickTop="1" thickBot="1" x14ac:dyDescent="0.2">
      <c r="B159" s="121">
        <v>3</v>
      </c>
      <c r="C159" s="102" t="str">
        <f t="shared" si="43"/>
        <v>11 h 30 à 14 h 30</v>
      </c>
      <c r="D159" s="14">
        <v>10</v>
      </c>
      <c r="E159" s="14">
        <v>9</v>
      </c>
      <c r="F159" s="14">
        <v>10</v>
      </c>
      <c r="G159" s="14">
        <v>11</v>
      </c>
      <c r="H159" s="14">
        <v>12</v>
      </c>
      <c r="I159" s="14">
        <v>15</v>
      </c>
      <c r="J159" s="14">
        <v>20</v>
      </c>
      <c r="K159" s="14">
        <v>18</v>
      </c>
      <c r="L159" s="14">
        <v>12</v>
      </c>
      <c r="M159" s="14">
        <v>11</v>
      </c>
      <c r="N159" s="14">
        <v>10</v>
      </c>
      <c r="O159" s="14">
        <v>12</v>
      </c>
    </row>
    <row r="160" spans="2:15" ht="14" customHeight="1" thickTop="1" thickBot="1" x14ac:dyDescent="0.2">
      <c r="B160" s="121">
        <v>4</v>
      </c>
      <c r="C160" s="102" t="str">
        <f t="shared" si="43"/>
        <v>14 h 30 à 17 h</v>
      </c>
      <c r="D160" s="14">
        <v>10</v>
      </c>
      <c r="E160" s="14">
        <v>9</v>
      </c>
      <c r="F160" s="14">
        <v>10</v>
      </c>
      <c r="G160" s="14">
        <v>11</v>
      </c>
      <c r="H160" s="14">
        <v>12</v>
      </c>
      <c r="I160" s="14">
        <v>15</v>
      </c>
      <c r="J160" s="14">
        <v>20</v>
      </c>
      <c r="K160" s="14">
        <v>18</v>
      </c>
      <c r="L160" s="14">
        <v>12</v>
      </c>
      <c r="M160" s="14">
        <v>11</v>
      </c>
      <c r="N160" s="14">
        <v>10</v>
      </c>
      <c r="O160" s="14">
        <v>12</v>
      </c>
    </row>
    <row r="161" spans="2:15" ht="14" customHeight="1" thickTop="1" thickBot="1" x14ac:dyDescent="0.2">
      <c r="B161" s="121">
        <v>5</v>
      </c>
      <c r="C161" s="102" t="str">
        <f t="shared" si="43"/>
        <v>17 h à 19 h</v>
      </c>
      <c r="D161" s="14">
        <v>10</v>
      </c>
      <c r="E161" s="14">
        <v>9</v>
      </c>
      <c r="F161" s="14">
        <v>10</v>
      </c>
      <c r="G161" s="14">
        <v>11</v>
      </c>
      <c r="H161" s="14">
        <v>12</v>
      </c>
      <c r="I161" s="14">
        <v>15</v>
      </c>
      <c r="J161" s="14">
        <v>20</v>
      </c>
      <c r="K161" s="14">
        <v>18</v>
      </c>
      <c r="L161" s="14">
        <v>12</v>
      </c>
      <c r="M161" s="14">
        <v>11</v>
      </c>
      <c r="N161" s="14">
        <v>10</v>
      </c>
      <c r="O161" s="14">
        <v>12</v>
      </c>
    </row>
    <row r="162" spans="2:15" ht="14" customHeight="1" thickTop="1" thickBot="1" x14ac:dyDescent="0.2">
      <c r="B162" s="121">
        <v>6</v>
      </c>
      <c r="C162" s="102" t="str">
        <f t="shared" si="43"/>
        <v>19 h à 23 h</v>
      </c>
      <c r="D162" s="14">
        <v>10</v>
      </c>
      <c r="E162" s="14">
        <v>9</v>
      </c>
      <c r="F162" s="14">
        <v>10</v>
      </c>
      <c r="G162" s="14">
        <v>11</v>
      </c>
      <c r="H162" s="14">
        <v>12</v>
      </c>
      <c r="I162" s="14">
        <v>15</v>
      </c>
      <c r="J162" s="14">
        <v>20</v>
      </c>
      <c r="K162" s="14">
        <v>18</v>
      </c>
      <c r="L162" s="14">
        <v>12</v>
      </c>
      <c r="M162" s="14">
        <v>11</v>
      </c>
      <c r="N162" s="14">
        <v>10</v>
      </c>
      <c r="O162" s="14">
        <v>12</v>
      </c>
    </row>
    <row r="163" spans="2:15" ht="14" customHeight="1" thickTop="1" thickBot="1" x14ac:dyDescent="0.2">
      <c r="B163" s="121">
        <v>7</v>
      </c>
      <c r="C163" s="102" t="str">
        <f t="shared" si="43"/>
        <v>23 h à 6 h</v>
      </c>
      <c r="D163" s="14">
        <v>0</v>
      </c>
      <c r="E163" s="14">
        <v>0</v>
      </c>
      <c r="F163" s="14">
        <v>0</v>
      </c>
      <c r="G163" s="14">
        <v>0</v>
      </c>
      <c r="H163" s="14">
        <v>0</v>
      </c>
      <c r="I163" s="14">
        <v>0</v>
      </c>
      <c r="J163" s="14">
        <v>0</v>
      </c>
      <c r="K163" s="14">
        <v>0</v>
      </c>
      <c r="L163" s="14">
        <v>0</v>
      </c>
      <c r="M163" s="14">
        <v>0</v>
      </c>
      <c r="N163" s="14">
        <v>0</v>
      </c>
      <c r="O163" s="14">
        <v>0</v>
      </c>
    </row>
    <row r="164" spans="2:15" ht="14" customHeight="1" thickTop="1" thickBot="1" x14ac:dyDescent="0.2">
      <c r="B164" s="19"/>
      <c r="C164" s="21" t="str">
        <f t="shared" ref="C164" si="44">+C146</f>
        <v>Total</v>
      </c>
      <c r="D164" s="24">
        <f t="shared" ref="D164:L164" si="45">+D157+D158+D159+D160+D161+D162+D163</f>
        <v>50</v>
      </c>
      <c r="E164" s="24">
        <f t="shared" si="45"/>
        <v>45</v>
      </c>
      <c r="F164" s="24">
        <f t="shared" si="45"/>
        <v>50</v>
      </c>
      <c r="G164" s="24">
        <f t="shared" si="45"/>
        <v>55</v>
      </c>
      <c r="H164" s="24">
        <f t="shared" si="45"/>
        <v>60</v>
      </c>
      <c r="I164" s="24">
        <f t="shared" si="45"/>
        <v>75</v>
      </c>
      <c r="J164" s="24">
        <f t="shared" si="45"/>
        <v>100</v>
      </c>
      <c r="K164" s="24">
        <f t="shared" si="45"/>
        <v>90</v>
      </c>
      <c r="L164" s="24">
        <f t="shared" si="45"/>
        <v>60</v>
      </c>
      <c r="M164" s="24">
        <f>+M157+M158+M159+M160+M161+M162+M163</f>
        <v>55</v>
      </c>
      <c r="N164" s="24">
        <f>+N157+N158+N159+N160+N161+N162+N163</f>
        <v>50</v>
      </c>
      <c r="O164" s="24">
        <f>+O157+O158+O159+O160+O161+O162+O163</f>
        <v>60</v>
      </c>
    </row>
    <row r="165" spans="2:15" ht="14" customHeight="1" thickTop="1" thickBot="1" x14ac:dyDescent="0.2">
      <c r="B165" s="124" t="s">
        <v>2</v>
      </c>
      <c r="C165" s="125" t="str">
        <f>+'Calendrier 2021'!C26</f>
        <v>Jeudi</v>
      </c>
      <c r="D165" s="77">
        <f>+'Calendrier 2021'!D26</f>
        <v>44210</v>
      </c>
      <c r="E165" s="77" t="str">
        <f>+'Calendrier 2021'!E26</f>
        <v>18 fev 2021</v>
      </c>
      <c r="F165" s="77">
        <f>+'Calendrier 2021'!F26</f>
        <v>44273</v>
      </c>
      <c r="G165" s="77">
        <f>+'Calendrier 2021'!G26</f>
        <v>44301</v>
      </c>
      <c r="H165" s="77">
        <f>+'Calendrier 2021'!H26</f>
        <v>44329</v>
      </c>
      <c r="I165" s="77">
        <f>+'Calendrier 2021'!I26</f>
        <v>44364</v>
      </c>
      <c r="J165" s="77">
        <f>+'Calendrier 2021'!J26</f>
        <v>44392</v>
      </c>
      <c r="K165" s="77">
        <f>+'Calendrier 2021'!K26</f>
        <v>44420</v>
      </c>
      <c r="L165" s="77">
        <f>+'Calendrier 2021'!L26</f>
        <v>44455</v>
      </c>
      <c r="M165" s="77">
        <f>+'Calendrier 2021'!M26</f>
        <v>44483</v>
      </c>
      <c r="N165" s="77">
        <f>+'Calendrier 2021'!N26</f>
        <v>44518</v>
      </c>
      <c r="O165" s="78" t="str">
        <f>+'Calendrier 2021'!O26</f>
        <v>16 dec 2021</v>
      </c>
    </row>
    <row r="166" spans="2:15" ht="14" customHeight="1" thickTop="1" thickBot="1" x14ac:dyDescent="0.2">
      <c r="B166" s="18">
        <v>1</v>
      </c>
      <c r="C166" s="100" t="str">
        <f t="shared" ref="C166:C172" si="46">C157</f>
        <v>6 h à 9 h 30</v>
      </c>
      <c r="D166" s="12">
        <v>0</v>
      </c>
      <c r="E166" s="12">
        <v>0</v>
      </c>
      <c r="F166" s="12">
        <v>0</v>
      </c>
      <c r="G166" s="12">
        <v>0</v>
      </c>
      <c r="H166" s="12">
        <v>0</v>
      </c>
      <c r="I166" s="12">
        <v>0</v>
      </c>
      <c r="J166" s="12">
        <v>0</v>
      </c>
      <c r="K166" s="12">
        <v>0</v>
      </c>
      <c r="L166" s="12">
        <v>0</v>
      </c>
      <c r="M166" s="12">
        <v>0</v>
      </c>
      <c r="N166" s="12">
        <v>0</v>
      </c>
      <c r="O166" s="12">
        <v>0</v>
      </c>
    </row>
    <row r="167" spans="2:15" ht="14" customHeight="1" thickTop="1" thickBot="1" x14ac:dyDescent="0.2">
      <c r="B167" s="121">
        <v>2</v>
      </c>
      <c r="C167" s="102" t="str">
        <f t="shared" si="46"/>
        <v>9 h 30 à 11 h 30</v>
      </c>
      <c r="D167" s="14">
        <v>10</v>
      </c>
      <c r="E167" s="14">
        <v>9</v>
      </c>
      <c r="F167" s="14">
        <v>10</v>
      </c>
      <c r="G167" s="14">
        <v>11</v>
      </c>
      <c r="H167" s="14">
        <v>12</v>
      </c>
      <c r="I167" s="14">
        <v>15</v>
      </c>
      <c r="J167" s="14">
        <v>20</v>
      </c>
      <c r="K167" s="14">
        <v>18</v>
      </c>
      <c r="L167" s="14">
        <v>12</v>
      </c>
      <c r="M167" s="14">
        <v>11</v>
      </c>
      <c r="N167" s="14">
        <v>10</v>
      </c>
      <c r="O167" s="14">
        <v>12</v>
      </c>
    </row>
    <row r="168" spans="2:15" ht="14" customHeight="1" thickTop="1" thickBot="1" x14ac:dyDescent="0.2">
      <c r="B168" s="121">
        <v>3</v>
      </c>
      <c r="C168" s="102" t="str">
        <f t="shared" si="46"/>
        <v>11 h 30 à 14 h 30</v>
      </c>
      <c r="D168" s="14">
        <v>10</v>
      </c>
      <c r="E168" s="14">
        <v>9</v>
      </c>
      <c r="F168" s="14">
        <v>10</v>
      </c>
      <c r="G168" s="14">
        <v>11</v>
      </c>
      <c r="H168" s="14">
        <v>12</v>
      </c>
      <c r="I168" s="14">
        <v>15</v>
      </c>
      <c r="J168" s="14">
        <v>20</v>
      </c>
      <c r="K168" s="14">
        <v>18</v>
      </c>
      <c r="L168" s="14">
        <v>12</v>
      </c>
      <c r="M168" s="14">
        <v>11</v>
      </c>
      <c r="N168" s="14">
        <v>10</v>
      </c>
      <c r="O168" s="14">
        <v>12</v>
      </c>
    </row>
    <row r="169" spans="2:15" ht="14" customHeight="1" thickTop="1" thickBot="1" x14ac:dyDescent="0.2">
      <c r="B169" s="121">
        <v>4</v>
      </c>
      <c r="C169" s="102" t="str">
        <f t="shared" si="46"/>
        <v>14 h 30 à 17 h</v>
      </c>
      <c r="D169" s="14">
        <v>10</v>
      </c>
      <c r="E169" s="14">
        <v>9</v>
      </c>
      <c r="F169" s="14">
        <v>10</v>
      </c>
      <c r="G169" s="14">
        <v>11</v>
      </c>
      <c r="H169" s="14">
        <v>12</v>
      </c>
      <c r="I169" s="14">
        <v>15</v>
      </c>
      <c r="J169" s="14">
        <v>20</v>
      </c>
      <c r="K169" s="14">
        <v>18</v>
      </c>
      <c r="L169" s="14">
        <v>12</v>
      </c>
      <c r="M169" s="14">
        <v>11</v>
      </c>
      <c r="N169" s="14">
        <v>10</v>
      </c>
      <c r="O169" s="14">
        <v>12</v>
      </c>
    </row>
    <row r="170" spans="2:15" ht="14" customHeight="1" thickTop="1" thickBot="1" x14ac:dyDescent="0.2">
      <c r="B170" s="121">
        <v>5</v>
      </c>
      <c r="C170" s="102" t="str">
        <f t="shared" si="46"/>
        <v>17 h à 19 h</v>
      </c>
      <c r="D170" s="14">
        <v>10</v>
      </c>
      <c r="E170" s="14">
        <v>9</v>
      </c>
      <c r="F170" s="14">
        <v>10</v>
      </c>
      <c r="G170" s="14">
        <v>11</v>
      </c>
      <c r="H170" s="14">
        <v>12</v>
      </c>
      <c r="I170" s="14">
        <v>15</v>
      </c>
      <c r="J170" s="14">
        <v>20</v>
      </c>
      <c r="K170" s="14">
        <v>18</v>
      </c>
      <c r="L170" s="14">
        <v>12</v>
      </c>
      <c r="M170" s="14">
        <v>11</v>
      </c>
      <c r="N170" s="14">
        <v>10</v>
      </c>
      <c r="O170" s="14">
        <v>12</v>
      </c>
    </row>
    <row r="171" spans="2:15" ht="14" customHeight="1" thickTop="1" thickBot="1" x14ac:dyDescent="0.2">
      <c r="B171" s="121">
        <v>6</v>
      </c>
      <c r="C171" s="102" t="str">
        <f t="shared" si="46"/>
        <v>19 h à 23 h</v>
      </c>
      <c r="D171" s="14">
        <v>10</v>
      </c>
      <c r="E171" s="14">
        <v>9</v>
      </c>
      <c r="F171" s="14">
        <v>10</v>
      </c>
      <c r="G171" s="14">
        <v>11</v>
      </c>
      <c r="H171" s="14">
        <v>12</v>
      </c>
      <c r="I171" s="14">
        <v>15</v>
      </c>
      <c r="J171" s="14">
        <v>20</v>
      </c>
      <c r="K171" s="14">
        <v>18</v>
      </c>
      <c r="L171" s="14">
        <v>12</v>
      </c>
      <c r="M171" s="14">
        <v>11</v>
      </c>
      <c r="N171" s="14">
        <v>10</v>
      </c>
      <c r="O171" s="14">
        <v>12</v>
      </c>
    </row>
    <row r="172" spans="2:15" ht="14" customHeight="1" thickTop="1" thickBot="1" x14ac:dyDescent="0.2">
      <c r="B172" s="121">
        <v>7</v>
      </c>
      <c r="C172" s="102" t="str">
        <f t="shared" si="46"/>
        <v>23 h à 6 h</v>
      </c>
      <c r="D172" s="14">
        <v>0</v>
      </c>
      <c r="E172" s="14">
        <v>0</v>
      </c>
      <c r="F172" s="14">
        <v>0</v>
      </c>
      <c r="G172" s="14">
        <v>0</v>
      </c>
      <c r="H172" s="14">
        <v>0</v>
      </c>
      <c r="I172" s="14">
        <v>0</v>
      </c>
      <c r="J172" s="14">
        <v>0</v>
      </c>
      <c r="K172" s="14">
        <v>0</v>
      </c>
      <c r="L172" s="14">
        <v>0</v>
      </c>
      <c r="M172" s="14">
        <v>0</v>
      </c>
      <c r="N172" s="14">
        <v>0</v>
      </c>
      <c r="O172" s="14">
        <v>0</v>
      </c>
    </row>
    <row r="173" spans="2:15" ht="14" customHeight="1" thickTop="1" thickBot="1" x14ac:dyDescent="0.2">
      <c r="B173" s="19"/>
      <c r="C173" s="298" t="str">
        <f>+C164</f>
        <v>Total</v>
      </c>
      <c r="D173" s="24">
        <f t="shared" ref="D173:L173" si="47">+D166+D167+D168+D169+D170+D171+D172</f>
        <v>50</v>
      </c>
      <c r="E173" s="24">
        <f t="shared" si="47"/>
        <v>45</v>
      </c>
      <c r="F173" s="24">
        <f t="shared" si="47"/>
        <v>50</v>
      </c>
      <c r="G173" s="24">
        <f t="shared" si="47"/>
        <v>55</v>
      </c>
      <c r="H173" s="24">
        <f t="shared" si="47"/>
        <v>60</v>
      </c>
      <c r="I173" s="24">
        <f t="shared" si="47"/>
        <v>75</v>
      </c>
      <c r="J173" s="24">
        <f t="shared" si="47"/>
        <v>100</v>
      </c>
      <c r="K173" s="24">
        <f t="shared" si="47"/>
        <v>90</v>
      </c>
      <c r="L173" s="24">
        <f t="shared" si="47"/>
        <v>60</v>
      </c>
      <c r="M173" s="24">
        <f>+M166+M167+M168+M169+M170+M171+M172</f>
        <v>55</v>
      </c>
      <c r="N173" s="24">
        <f>+N166+N167+N168+N169+N170+N171+N172</f>
        <v>50</v>
      </c>
      <c r="O173" s="24">
        <f>+O166+O167+O168+O169+O170+O171+O172</f>
        <v>60</v>
      </c>
    </row>
    <row r="174" spans="2:15" ht="14" customHeight="1" thickTop="1" thickBot="1" x14ac:dyDescent="0.2">
      <c r="B174" s="124" t="s">
        <v>2</v>
      </c>
      <c r="C174" s="299" t="str">
        <f>+'Calendrier 2021'!C27</f>
        <v>Vendredi</v>
      </c>
      <c r="D174" s="77">
        <f>+'Calendrier 2021'!D27</f>
        <v>44211</v>
      </c>
      <c r="E174" s="77" t="str">
        <f>+'Calendrier 2021'!E27</f>
        <v>19 fev 2021</v>
      </c>
      <c r="F174" s="77">
        <f>+'Calendrier 2021'!F27</f>
        <v>44274</v>
      </c>
      <c r="G174" s="77">
        <f>+'Calendrier 2021'!G27</f>
        <v>44302</v>
      </c>
      <c r="H174" s="77">
        <f>+'Calendrier 2021'!H27</f>
        <v>44330</v>
      </c>
      <c r="I174" s="77">
        <f>+'Calendrier 2021'!I27</f>
        <v>44365</v>
      </c>
      <c r="J174" s="77">
        <f>+'Calendrier 2021'!J27</f>
        <v>44393</v>
      </c>
      <c r="K174" s="77">
        <f>+'Calendrier 2021'!K27</f>
        <v>44421</v>
      </c>
      <c r="L174" s="77">
        <f>+'Calendrier 2021'!L27</f>
        <v>44456</v>
      </c>
      <c r="M174" s="77">
        <f>+'Calendrier 2021'!M27</f>
        <v>44484</v>
      </c>
      <c r="N174" s="77">
        <f>+'Calendrier 2021'!N27</f>
        <v>44519</v>
      </c>
      <c r="O174" s="78" t="str">
        <f>+'Calendrier 2021'!O27</f>
        <v>17 dec 2021</v>
      </c>
    </row>
    <row r="175" spans="2:15" ht="14" customHeight="1" thickTop="1" thickBot="1" x14ac:dyDescent="0.2">
      <c r="B175" s="18">
        <v>1</v>
      </c>
      <c r="C175" s="100" t="str">
        <f t="shared" ref="C175:C181" si="48">C166</f>
        <v>6 h à 9 h 30</v>
      </c>
      <c r="D175" s="12">
        <v>0</v>
      </c>
      <c r="E175" s="12">
        <v>0</v>
      </c>
      <c r="F175" s="12">
        <v>0</v>
      </c>
      <c r="G175" s="12">
        <v>0</v>
      </c>
      <c r="H175" s="12">
        <v>0</v>
      </c>
      <c r="I175" s="12">
        <v>0</v>
      </c>
      <c r="J175" s="12">
        <v>0</v>
      </c>
      <c r="K175" s="12">
        <v>0</v>
      </c>
      <c r="L175" s="12">
        <v>0</v>
      </c>
      <c r="M175" s="12">
        <v>0</v>
      </c>
      <c r="N175" s="12">
        <v>0</v>
      </c>
      <c r="O175" s="12">
        <v>0</v>
      </c>
    </row>
    <row r="176" spans="2:15" ht="14" customHeight="1" thickTop="1" thickBot="1" x14ac:dyDescent="0.2">
      <c r="B176" s="121">
        <v>2</v>
      </c>
      <c r="C176" s="102" t="str">
        <f t="shared" si="48"/>
        <v>9 h 30 à 11 h 30</v>
      </c>
      <c r="D176" s="312">
        <v>10</v>
      </c>
      <c r="E176" s="14">
        <v>9</v>
      </c>
      <c r="F176" s="14">
        <v>10</v>
      </c>
      <c r="G176" s="14">
        <v>11</v>
      </c>
      <c r="H176" s="14">
        <v>12</v>
      </c>
      <c r="I176" s="14">
        <v>15</v>
      </c>
      <c r="J176" s="14">
        <v>20</v>
      </c>
      <c r="K176" s="14">
        <v>18</v>
      </c>
      <c r="L176" s="14">
        <v>12</v>
      </c>
      <c r="M176" s="14">
        <v>11</v>
      </c>
      <c r="N176" s="14">
        <v>10</v>
      </c>
      <c r="O176" s="14">
        <v>12</v>
      </c>
    </row>
    <row r="177" spans="2:15" ht="14" customHeight="1" thickTop="1" thickBot="1" x14ac:dyDescent="0.2">
      <c r="B177" s="121">
        <v>3</v>
      </c>
      <c r="C177" s="102" t="str">
        <f t="shared" si="48"/>
        <v>11 h 30 à 14 h 30</v>
      </c>
      <c r="D177" s="22">
        <v>10</v>
      </c>
      <c r="E177" s="14">
        <v>9</v>
      </c>
      <c r="F177" s="14">
        <v>10</v>
      </c>
      <c r="G177" s="14">
        <v>11</v>
      </c>
      <c r="H177" s="14">
        <v>12</v>
      </c>
      <c r="I177" s="14">
        <v>15</v>
      </c>
      <c r="J177" s="14">
        <v>20</v>
      </c>
      <c r="K177" s="14">
        <v>18</v>
      </c>
      <c r="L177" s="14">
        <v>12</v>
      </c>
      <c r="M177" s="14">
        <v>11</v>
      </c>
      <c r="N177" s="14">
        <v>10</v>
      </c>
      <c r="O177" s="14">
        <v>12</v>
      </c>
    </row>
    <row r="178" spans="2:15" ht="14" customHeight="1" thickTop="1" thickBot="1" x14ac:dyDescent="0.2">
      <c r="B178" s="121">
        <v>4</v>
      </c>
      <c r="C178" s="102" t="str">
        <f t="shared" si="48"/>
        <v>14 h 30 à 17 h</v>
      </c>
      <c r="D178" s="22">
        <v>10</v>
      </c>
      <c r="E178" s="14">
        <v>9</v>
      </c>
      <c r="F178" s="14">
        <v>10</v>
      </c>
      <c r="G178" s="14">
        <v>11</v>
      </c>
      <c r="H178" s="14">
        <v>12</v>
      </c>
      <c r="I178" s="14">
        <v>15</v>
      </c>
      <c r="J178" s="14">
        <v>20</v>
      </c>
      <c r="K178" s="14">
        <v>18</v>
      </c>
      <c r="L178" s="14">
        <v>12</v>
      </c>
      <c r="M178" s="14">
        <v>11</v>
      </c>
      <c r="N178" s="14">
        <v>10</v>
      </c>
      <c r="O178" s="14">
        <v>12</v>
      </c>
    </row>
    <row r="179" spans="2:15" ht="14" customHeight="1" thickTop="1" thickBot="1" x14ac:dyDescent="0.2">
      <c r="B179" s="121">
        <v>5</v>
      </c>
      <c r="C179" s="102" t="str">
        <f t="shared" si="48"/>
        <v>17 h à 19 h</v>
      </c>
      <c r="D179" s="22">
        <v>10</v>
      </c>
      <c r="E179" s="14">
        <v>9</v>
      </c>
      <c r="F179" s="14">
        <v>10</v>
      </c>
      <c r="G179" s="14">
        <v>11</v>
      </c>
      <c r="H179" s="14">
        <v>12</v>
      </c>
      <c r="I179" s="14">
        <v>15</v>
      </c>
      <c r="J179" s="14">
        <v>20</v>
      </c>
      <c r="K179" s="14">
        <v>18</v>
      </c>
      <c r="L179" s="14">
        <v>12</v>
      </c>
      <c r="M179" s="14">
        <v>11</v>
      </c>
      <c r="N179" s="14">
        <v>10</v>
      </c>
      <c r="O179" s="14">
        <v>12</v>
      </c>
    </row>
    <row r="180" spans="2:15" ht="14" customHeight="1" thickTop="1" thickBot="1" x14ac:dyDescent="0.2">
      <c r="B180" s="121">
        <v>6</v>
      </c>
      <c r="C180" s="102" t="str">
        <f t="shared" si="48"/>
        <v>19 h à 23 h</v>
      </c>
      <c r="D180" s="22">
        <v>10</v>
      </c>
      <c r="E180" s="14">
        <v>9</v>
      </c>
      <c r="F180" s="14">
        <v>10</v>
      </c>
      <c r="G180" s="14">
        <v>11</v>
      </c>
      <c r="H180" s="14">
        <v>12</v>
      </c>
      <c r="I180" s="14">
        <v>15</v>
      </c>
      <c r="J180" s="14">
        <v>20</v>
      </c>
      <c r="K180" s="14">
        <v>18</v>
      </c>
      <c r="L180" s="14">
        <v>12</v>
      </c>
      <c r="M180" s="14">
        <v>11</v>
      </c>
      <c r="N180" s="14">
        <v>10</v>
      </c>
      <c r="O180" s="14">
        <v>12</v>
      </c>
    </row>
    <row r="181" spans="2:15" ht="14" customHeight="1" thickTop="1" thickBot="1" x14ac:dyDescent="0.2">
      <c r="B181" s="121">
        <v>7</v>
      </c>
      <c r="C181" s="102" t="str">
        <f t="shared" si="48"/>
        <v>23 h à 6 h</v>
      </c>
      <c r="D181" s="14">
        <v>0</v>
      </c>
      <c r="E181" s="14">
        <v>0</v>
      </c>
      <c r="F181" s="14">
        <v>0</v>
      </c>
      <c r="G181" s="14">
        <v>0</v>
      </c>
      <c r="H181" s="14">
        <v>0</v>
      </c>
      <c r="I181" s="14">
        <v>0</v>
      </c>
      <c r="J181" s="14">
        <v>0</v>
      </c>
      <c r="K181" s="14">
        <v>0</v>
      </c>
      <c r="L181" s="14">
        <v>0</v>
      </c>
      <c r="M181" s="14">
        <v>0</v>
      </c>
      <c r="N181" s="14">
        <v>0</v>
      </c>
      <c r="O181" s="14">
        <v>0</v>
      </c>
    </row>
    <row r="182" spans="2:15" ht="14" customHeight="1" thickTop="1" thickBot="1" x14ac:dyDescent="0.2">
      <c r="B182" s="19"/>
      <c r="C182" s="21" t="str">
        <f t="shared" ref="C182" si="49">+C173</f>
        <v>Total</v>
      </c>
      <c r="D182" s="24">
        <f t="shared" ref="D182:L182" si="50">+D175+D176+D177+D178+D179+D180+D181</f>
        <v>50</v>
      </c>
      <c r="E182" s="24">
        <f t="shared" si="50"/>
        <v>45</v>
      </c>
      <c r="F182" s="24">
        <f t="shared" si="50"/>
        <v>50</v>
      </c>
      <c r="G182" s="24">
        <f t="shared" si="50"/>
        <v>55</v>
      </c>
      <c r="H182" s="24">
        <f t="shared" si="50"/>
        <v>60</v>
      </c>
      <c r="I182" s="24">
        <f t="shared" si="50"/>
        <v>75</v>
      </c>
      <c r="J182" s="24">
        <f t="shared" si="50"/>
        <v>100</v>
      </c>
      <c r="K182" s="24">
        <f t="shared" si="50"/>
        <v>90</v>
      </c>
      <c r="L182" s="24">
        <f t="shared" si="50"/>
        <v>60</v>
      </c>
      <c r="M182" s="24">
        <f>+M175+M176+M177+M178+M179+M180+M181</f>
        <v>55</v>
      </c>
      <c r="N182" s="24">
        <f>+N175+N176+N177+N178+N179+N180+N181</f>
        <v>50</v>
      </c>
      <c r="O182" s="24">
        <f>+O175+O176+O177+O178+O179+O180+O181</f>
        <v>60</v>
      </c>
    </row>
    <row r="183" spans="2:15" ht="14" customHeight="1" thickTop="1" thickBot="1" x14ac:dyDescent="0.2">
      <c r="B183" s="124" t="s">
        <v>2</v>
      </c>
      <c r="C183" s="125" t="str">
        <f>+'Calendrier 2021'!C28</f>
        <v>Samedi</v>
      </c>
      <c r="D183" s="77">
        <f>+'Calendrier 2021'!D28</f>
        <v>44212</v>
      </c>
      <c r="E183" s="77" t="str">
        <f>+'Calendrier 2021'!E28</f>
        <v>20 fev 2021</v>
      </c>
      <c r="F183" s="77">
        <f>+'Calendrier 2021'!F28</f>
        <v>44275</v>
      </c>
      <c r="G183" s="77">
        <f>+'Calendrier 2021'!G28</f>
        <v>44303</v>
      </c>
      <c r="H183" s="77">
        <f>+'Calendrier 2021'!H28</f>
        <v>44331</v>
      </c>
      <c r="I183" s="77">
        <f>+'Calendrier 2021'!I28</f>
        <v>44366</v>
      </c>
      <c r="J183" s="77">
        <f>+'Calendrier 2021'!J28</f>
        <v>44394</v>
      </c>
      <c r="K183" s="77">
        <f>+'Calendrier 2021'!K28</f>
        <v>44422</v>
      </c>
      <c r="L183" s="77">
        <f>+'Calendrier 2021'!L28</f>
        <v>44457</v>
      </c>
      <c r="M183" s="77">
        <f>+'Calendrier 2021'!M28</f>
        <v>44485</v>
      </c>
      <c r="N183" s="77">
        <f>+'Calendrier 2021'!N28</f>
        <v>44520</v>
      </c>
      <c r="O183" s="78" t="str">
        <f>+'Calendrier 2021'!O28</f>
        <v>18 dec 2021</v>
      </c>
    </row>
    <row r="184" spans="2:15" ht="14" customHeight="1" thickTop="1" thickBot="1" x14ac:dyDescent="0.2">
      <c r="B184" s="18">
        <v>1</v>
      </c>
      <c r="C184" s="100" t="str">
        <f t="shared" ref="C184:C190" si="51">C175</f>
        <v>6 h à 9 h 30</v>
      </c>
      <c r="D184" s="12">
        <v>0</v>
      </c>
      <c r="E184" s="12">
        <v>0</v>
      </c>
      <c r="F184" s="12">
        <v>0</v>
      </c>
      <c r="G184" s="12">
        <v>0</v>
      </c>
      <c r="H184" s="12">
        <v>0</v>
      </c>
      <c r="I184" s="12">
        <v>0</v>
      </c>
      <c r="J184" s="12">
        <v>0</v>
      </c>
      <c r="K184" s="12">
        <v>0</v>
      </c>
      <c r="L184" s="12">
        <v>0</v>
      </c>
      <c r="M184" s="12">
        <v>0</v>
      </c>
      <c r="N184" s="12">
        <v>0</v>
      </c>
      <c r="O184" s="12">
        <v>0</v>
      </c>
    </row>
    <row r="185" spans="2:15" ht="14" customHeight="1" thickTop="1" thickBot="1" x14ac:dyDescent="0.2">
      <c r="B185" s="18">
        <v>2</v>
      </c>
      <c r="C185" s="102" t="str">
        <f t="shared" si="51"/>
        <v>9 h 30 à 11 h 30</v>
      </c>
      <c r="D185" s="312">
        <v>10</v>
      </c>
      <c r="E185" s="14">
        <v>9</v>
      </c>
      <c r="F185" s="14">
        <v>10</v>
      </c>
      <c r="G185" s="14">
        <v>11</v>
      </c>
      <c r="H185" s="14">
        <v>12</v>
      </c>
      <c r="I185" s="14">
        <v>15</v>
      </c>
      <c r="J185" s="14">
        <v>20</v>
      </c>
      <c r="K185" s="14">
        <v>18</v>
      </c>
      <c r="L185" s="14">
        <v>12</v>
      </c>
      <c r="M185" s="14">
        <v>11</v>
      </c>
      <c r="N185" s="14">
        <v>10</v>
      </c>
      <c r="O185" s="14">
        <v>12</v>
      </c>
    </row>
    <row r="186" spans="2:15" ht="14" customHeight="1" thickTop="1" thickBot="1" x14ac:dyDescent="0.2">
      <c r="B186" s="18">
        <v>3</v>
      </c>
      <c r="C186" s="102" t="str">
        <f t="shared" si="51"/>
        <v>11 h 30 à 14 h 30</v>
      </c>
      <c r="D186" s="22">
        <v>10</v>
      </c>
      <c r="E186" s="14">
        <v>9</v>
      </c>
      <c r="F186" s="14">
        <v>10</v>
      </c>
      <c r="G186" s="14">
        <v>11</v>
      </c>
      <c r="H186" s="14">
        <v>12</v>
      </c>
      <c r="I186" s="14">
        <v>15</v>
      </c>
      <c r="J186" s="14">
        <v>20</v>
      </c>
      <c r="K186" s="14">
        <v>18</v>
      </c>
      <c r="L186" s="14">
        <v>12</v>
      </c>
      <c r="M186" s="14">
        <v>11</v>
      </c>
      <c r="N186" s="14">
        <v>10</v>
      </c>
      <c r="O186" s="14">
        <v>12</v>
      </c>
    </row>
    <row r="187" spans="2:15" ht="14" customHeight="1" thickTop="1" thickBot="1" x14ac:dyDescent="0.2">
      <c r="B187" s="18">
        <v>4</v>
      </c>
      <c r="C187" s="102" t="str">
        <f t="shared" si="51"/>
        <v>14 h 30 à 17 h</v>
      </c>
      <c r="D187" s="22">
        <v>10</v>
      </c>
      <c r="E187" s="14">
        <v>9</v>
      </c>
      <c r="F187" s="14">
        <v>10</v>
      </c>
      <c r="G187" s="14">
        <v>11</v>
      </c>
      <c r="H187" s="14">
        <v>12</v>
      </c>
      <c r="I187" s="14">
        <v>15</v>
      </c>
      <c r="J187" s="14">
        <v>20</v>
      </c>
      <c r="K187" s="14">
        <v>18</v>
      </c>
      <c r="L187" s="14">
        <v>12</v>
      </c>
      <c r="M187" s="14">
        <v>11</v>
      </c>
      <c r="N187" s="14">
        <v>10</v>
      </c>
      <c r="O187" s="14">
        <v>12</v>
      </c>
    </row>
    <row r="188" spans="2:15" ht="14" customHeight="1" thickTop="1" thickBot="1" x14ac:dyDescent="0.2">
      <c r="B188" s="18">
        <v>5</v>
      </c>
      <c r="C188" s="102" t="str">
        <f t="shared" si="51"/>
        <v>17 h à 19 h</v>
      </c>
      <c r="D188" s="22">
        <v>10</v>
      </c>
      <c r="E188" s="14">
        <v>9</v>
      </c>
      <c r="F188" s="14">
        <v>10</v>
      </c>
      <c r="G188" s="14">
        <v>11</v>
      </c>
      <c r="H188" s="14">
        <v>12</v>
      </c>
      <c r="I188" s="14">
        <v>15</v>
      </c>
      <c r="J188" s="14">
        <v>20</v>
      </c>
      <c r="K188" s="14">
        <v>18</v>
      </c>
      <c r="L188" s="14">
        <v>12</v>
      </c>
      <c r="M188" s="14">
        <v>11</v>
      </c>
      <c r="N188" s="14">
        <v>10</v>
      </c>
      <c r="O188" s="14">
        <v>12</v>
      </c>
    </row>
    <row r="189" spans="2:15" ht="14" customHeight="1" thickTop="1" thickBot="1" x14ac:dyDescent="0.2">
      <c r="B189" s="18">
        <v>6</v>
      </c>
      <c r="C189" s="102" t="str">
        <f t="shared" si="51"/>
        <v>19 h à 23 h</v>
      </c>
      <c r="D189" s="22">
        <v>10</v>
      </c>
      <c r="E189" s="14">
        <v>9</v>
      </c>
      <c r="F189" s="14">
        <v>10</v>
      </c>
      <c r="G189" s="14">
        <v>11</v>
      </c>
      <c r="H189" s="14">
        <v>12</v>
      </c>
      <c r="I189" s="14">
        <v>15</v>
      </c>
      <c r="J189" s="14">
        <v>20</v>
      </c>
      <c r="K189" s="14">
        <v>18</v>
      </c>
      <c r="L189" s="14">
        <v>12</v>
      </c>
      <c r="M189" s="14">
        <v>11</v>
      </c>
      <c r="N189" s="14">
        <v>10</v>
      </c>
      <c r="O189" s="14">
        <v>12</v>
      </c>
    </row>
    <row r="190" spans="2:15" ht="14" customHeight="1" thickTop="1" thickBot="1" x14ac:dyDescent="0.2">
      <c r="B190" s="18">
        <v>7</v>
      </c>
      <c r="C190" s="102" t="str">
        <f t="shared" si="51"/>
        <v>23 h à 6 h</v>
      </c>
      <c r="D190" s="14">
        <v>0</v>
      </c>
      <c r="E190" s="14">
        <v>0</v>
      </c>
      <c r="F190" s="14">
        <v>0</v>
      </c>
      <c r="G190" s="14">
        <v>0</v>
      </c>
      <c r="H190" s="14">
        <v>0</v>
      </c>
      <c r="I190" s="14">
        <v>0</v>
      </c>
      <c r="J190" s="14">
        <v>0</v>
      </c>
      <c r="K190" s="14">
        <v>0</v>
      </c>
      <c r="L190" s="14">
        <v>0</v>
      </c>
      <c r="M190" s="14">
        <v>0</v>
      </c>
      <c r="N190" s="14">
        <v>0</v>
      </c>
      <c r="O190" s="14">
        <v>0</v>
      </c>
    </row>
    <row r="191" spans="2:15" ht="14" customHeight="1" thickTop="1" thickBot="1" x14ac:dyDescent="0.2">
      <c r="B191" s="19"/>
      <c r="C191" s="298" t="str">
        <f t="shared" ref="C191" si="52">+C182</f>
        <v>Total</v>
      </c>
      <c r="D191" s="24">
        <f t="shared" ref="D191:L191" si="53">+D184+D185+D186+D187+D188+D189+D190</f>
        <v>50</v>
      </c>
      <c r="E191" s="24">
        <f t="shared" si="53"/>
        <v>45</v>
      </c>
      <c r="F191" s="24">
        <f t="shared" si="53"/>
        <v>50</v>
      </c>
      <c r="G191" s="24">
        <f t="shared" si="53"/>
        <v>55</v>
      </c>
      <c r="H191" s="24">
        <f t="shared" si="53"/>
        <v>60</v>
      </c>
      <c r="I191" s="24">
        <f t="shared" si="53"/>
        <v>75</v>
      </c>
      <c r="J191" s="24">
        <f t="shared" si="53"/>
        <v>100</v>
      </c>
      <c r="K191" s="24">
        <f t="shared" si="53"/>
        <v>90</v>
      </c>
      <c r="L191" s="24">
        <f t="shared" si="53"/>
        <v>60</v>
      </c>
      <c r="M191" s="24">
        <f>+M184+M185+M186+M187+M188+M189+M190</f>
        <v>55</v>
      </c>
      <c r="N191" s="24">
        <f>+N184+N185+N186+N187+N188+N189+N190</f>
        <v>50</v>
      </c>
      <c r="O191" s="24">
        <f>+O184+O185+O186+O187+O188+O189+O190</f>
        <v>60</v>
      </c>
    </row>
    <row r="192" spans="2:15" ht="14" customHeight="1" thickTop="1" thickBot="1" x14ac:dyDescent="0.2">
      <c r="B192" s="124" t="s">
        <v>2</v>
      </c>
      <c r="C192" s="299" t="str">
        <f>+'Calendrier 2021'!C29</f>
        <v>Dimanche</v>
      </c>
      <c r="D192" s="77">
        <f>+'Calendrier 2021'!D29</f>
        <v>44213</v>
      </c>
      <c r="E192" s="77" t="str">
        <f>+'Calendrier 2021'!E29</f>
        <v>21 fev 2021</v>
      </c>
      <c r="F192" s="77">
        <f>+'Calendrier 2021'!F29</f>
        <v>44276</v>
      </c>
      <c r="G192" s="77">
        <f>+'Calendrier 2021'!G29</f>
        <v>44304</v>
      </c>
      <c r="H192" s="77">
        <f>+'Calendrier 2021'!H29</f>
        <v>44332</v>
      </c>
      <c r="I192" s="77">
        <f>+'Calendrier 2021'!I29</f>
        <v>44367</v>
      </c>
      <c r="J192" s="77">
        <f>+'Calendrier 2021'!J29</f>
        <v>44395</v>
      </c>
      <c r="K192" s="77">
        <f>+'Calendrier 2021'!K29</f>
        <v>44423</v>
      </c>
      <c r="L192" s="77">
        <f>+'Calendrier 2021'!L29</f>
        <v>44458</v>
      </c>
      <c r="M192" s="77">
        <f>+'Calendrier 2021'!M29</f>
        <v>44486</v>
      </c>
      <c r="N192" s="77">
        <f>+'Calendrier 2021'!N29</f>
        <v>44521</v>
      </c>
      <c r="O192" s="78" t="str">
        <f>+'Calendrier 2021'!O29</f>
        <v>19 dec 2021</v>
      </c>
    </row>
    <row r="193" spans="2:15" ht="14" customHeight="1" thickTop="1" thickBot="1" x14ac:dyDescent="0.2">
      <c r="B193" s="121">
        <v>1</v>
      </c>
      <c r="C193" s="100" t="str">
        <f t="shared" ref="C193:C199" si="54">C184</f>
        <v>6 h à 9 h 30</v>
      </c>
      <c r="D193" s="12">
        <v>0</v>
      </c>
      <c r="E193" s="12">
        <v>0</v>
      </c>
      <c r="F193" s="12">
        <v>0</v>
      </c>
      <c r="G193" s="12">
        <v>0</v>
      </c>
      <c r="H193" s="12">
        <v>0</v>
      </c>
      <c r="I193" s="12">
        <v>0</v>
      </c>
      <c r="J193" s="12">
        <v>0</v>
      </c>
      <c r="K193" s="12">
        <v>0</v>
      </c>
      <c r="L193" s="12">
        <v>0</v>
      </c>
      <c r="M193" s="12">
        <v>0</v>
      </c>
      <c r="N193" s="12">
        <v>0</v>
      </c>
      <c r="O193" s="12">
        <v>0</v>
      </c>
    </row>
    <row r="194" spans="2:15" ht="14" customHeight="1" thickTop="1" thickBot="1" x14ac:dyDescent="0.2">
      <c r="B194" s="18">
        <v>2</v>
      </c>
      <c r="C194" s="102" t="str">
        <f t="shared" si="54"/>
        <v>9 h 30 à 11 h 30</v>
      </c>
      <c r="D194" s="312">
        <v>10</v>
      </c>
      <c r="E194" s="14">
        <v>9</v>
      </c>
      <c r="F194" s="14">
        <v>10</v>
      </c>
      <c r="G194" s="14">
        <v>11</v>
      </c>
      <c r="H194" s="14">
        <v>12</v>
      </c>
      <c r="I194" s="14">
        <v>15</v>
      </c>
      <c r="J194" s="14">
        <v>20</v>
      </c>
      <c r="K194" s="14">
        <v>18</v>
      </c>
      <c r="L194" s="14">
        <v>12</v>
      </c>
      <c r="M194" s="14">
        <v>11</v>
      </c>
      <c r="N194" s="14">
        <v>10</v>
      </c>
      <c r="O194" s="14">
        <v>12</v>
      </c>
    </row>
    <row r="195" spans="2:15" ht="14" customHeight="1" thickTop="1" thickBot="1" x14ac:dyDescent="0.2">
      <c r="B195" s="18">
        <v>3</v>
      </c>
      <c r="C195" s="102" t="str">
        <f t="shared" si="54"/>
        <v>11 h 30 à 14 h 30</v>
      </c>
      <c r="D195" s="22">
        <v>10</v>
      </c>
      <c r="E195" s="14">
        <v>9</v>
      </c>
      <c r="F195" s="14">
        <v>10</v>
      </c>
      <c r="G195" s="14">
        <v>11</v>
      </c>
      <c r="H195" s="14">
        <v>12</v>
      </c>
      <c r="I195" s="14">
        <v>15</v>
      </c>
      <c r="J195" s="14">
        <v>20</v>
      </c>
      <c r="K195" s="14">
        <v>18</v>
      </c>
      <c r="L195" s="14">
        <v>12</v>
      </c>
      <c r="M195" s="14">
        <v>11</v>
      </c>
      <c r="N195" s="14">
        <v>10</v>
      </c>
      <c r="O195" s="14">
        <v>12</v>
      </c>
    </row>
    <row r="196" spans="2:15" ht="14" customHeight="1" thickTop="1" thickBot="1" x14ac:dyDescent="0.2">
      <c r="B196" s="18">
        <v>4</v>
      </c>
      <c r="C196" s="102" t="str">
        <f t="shared" si="54"/>
        <v>14 h 30 à 17 h</v>
      </c>
      <c r="D196" s="22">
        <v>10</v>
      </c>
      <c r="E196" s="14">
        <v>9</v>
      </c>
      <c r="F196" s="14">
        <v>10</v>
      </c>
      <c r="G196" s="14">
        <v>11</v>
      </c>
      <c r="H196" s="14">
        <v>12</v>
      </c>
      <c r="I196" s="14">
        <v>15</v>
      </c>
      <c r="J196" s="14">
        <v>20</v>
      </c>
      <c r="K196" s="14">
        <v>18</v>
      </c>
      <c r="L196" s="14">
        <v>12</v>
      </c>
      <c r="M196" s="14">
        <v>11</v>
      </c>
      <c r="N196" s="14">
        <v>10</v>
      </c>
      <c r="O196" s="14">
        <v>12</v>
      </c>
    </row>
    <row r="197" spans="2:15" ht="14" customHeight="1" thickTop="1" thickBot="1" x14ac:dyDescent="0.2">
      <c r="B197" s="18">
        <v>5</v>
      </c>
      <c r="C197" s="102" t="str">
        <f t="shared" si="54"/>
        <v>17 h à 19 h</v>
      </c>
      <c r="D197" s="22">
        <v>10</v>
      </c>
      <c r="E197" s="14">
        <v>9</v>
      </c>
      <c r="F197" s="14">
        <v>10</v>
      </c>
      <c r="G197" s="14">
        <v>11</v>
      </c>
      <c r="H197" s="14">
        <v>12</v>
      </c>
      <c r="I197" s="14">
        <v>15</v>
      </c>
      <c r="J197" s="14">
        <v>20</v>
      </c>
      <c r="K197" s="14">
        <v>18</v>
      </c>
      <c r="L197" s="14">
        <v>12</v>
      </c>
      <c r="M197" s="14">
        <v>11</v>
      </c>
      <c r="N197" s="14">
        <v>10</v>
      </c>
      <c r="O197" s="14">
        <v>12</v>
      </c>
    </row>
    <row r="198" spans="2:15" ht="14" customHeight="1" thickTop="1" thickBot="1" x14ac:dyDescent="0.2">
      <c r="B198" s="18">
        <v>6</v>
      </c>
      <c r="C198" s="102" t="str">
        <f t="shared" si="54"/>
        <v>19 h à 23 h</v>
      </c>
      <c r="D198" s="22">
        <v>10</v>
      </c>
      <c r="E198" s="14">
        <v>9</v>
      </c>
      <c r="F198" s="14">
        <v>10</v>
      </c>
      <c r="G198" s="14">
        <v>11</v>
      </c>
      <c r="H198" s="14">
        <v>12</v>
      </c>
      <c r="I198" s="14">
        <v>15</v>
      </c>
      <c r="J198" s="14">
        <v>20</v>
      </c>
      <c r="K198" s="14">
        <v>18</v>
      </c>
      <c r="L198" s="14">
        <v>12</v>
      </c>
      <c r="M198" s="14">
        <v>11</v>
      </c>
      <c r="N198" s="14">
        <v>10</v>
      </c>
      <c r="O198" s="14">
        <v>12</v>
      </c>
    </row>
    <row r="199" spans="2:15" ht="14" customHeight="1" thickTop="1" thickBot="1" x14ac:dyDescent="0.2">
      <c r="B199" s="18">
        <v>7</v>
      </c>
      <c r="C199" s="102" t="str">
        <f t="shared" si="54"/>
        <v>23 h à 6 h</v>
      </c>
      <c r="D199" s="14">
        <v>0</v>
      </c>
      <c r="E199" s="14">
        <v>0</v>
      </c>
      <c r="F199" s="14">
        <v>0</v>
      </c>
      <c r="G199" s="14">
        <v>0</v>
      </c>
      <c r="H199" s="14">
        <v>0</v>
      </c>
      <c r="I199" s="14">
        <v>0</v>
      </c>
      <c r="J199" s="14">
        <v>0</v>
      </c>
      <c r="K199" s="14">
        <v>0</v>
      </c>
      <c r="L199" s="14">
        <v>0</v>
      </c>
      <c r="M199" s="14">
        <v>0</v>
      </c>
      <c r="N199" s="14">
        <v>0</v>
      </c>
      <c r="O199" s="14">
        <v>0</v>
      </c>
    </row>
    <row r="200" spans="2:15" ht="14" customHeight="1" thickTop="1" thickBot="1" x14ac:dyDescent="0.2">
      <c r="B200" s="18"/>
      <c r="C200" s="16" t="str">
        <f t="shared" ref="C200" si="55">+C191</f>
        <v>Total</v>
      </c>
      <c r="D200" s="24">
        <f t="shared" ref="D200:L200" si="56">+D193+D194+D195+D196+D197+D198+D199</f>
        <v>50</v>
      </c>
      <c r="E200" s="24">
        <f t="shared" si="56"/>
        <v>45</v>
      </c>
      <c r="F200" s="24">
        <f t="shared" si="56"/>
        <v>50</v>
      </c>
      <c r="G200" s="24">
        <f t="shared" si="56"/>
        <v>55</v>
      </c>
      <c r="H200" s="24">
        <f t="shared" si="56"/>
        <v>60</v>
      </c>
      <c r="I200" s="24">
        <f t="shared" si="56"/>
        <v>75</v>
      </c>
      <c r="J200" s="24">
        <f t="shared" si="56"/>
        <v>100</v>
      </c>
      <c r="K200" s="24">
        <f t="shared" si="56"/>
        <v>90</v>
      </c>
      <c r="L200" s="24">
        <f t="shared" si="56"/>
        <v>60</v>
      </c>
      <c r="M200" s="24">
        <f>+M193+M194+M195+M196+M197+M198+M199</f>
        <v>55</v>
      </c>
      <c r="N200" s="24">
        <f>+N193+N194+N195+N196+N197+N198+N199</f>
        <v>50</v>
      </c>
      <c r="O200" s="24">
        <f>+O193+O194+O195+O196+O197+O198+O199</f>
        <v>60</v>
      </c>
    </row>
    <row r="201" spans="2:15" ht="14" customHeight="1" thickTop="1" thickBot="1" x14ac:dyDescent="0.2">
      <c r="B201" s="793" t="s">
        <v>19</v>
      </c>
      <c r="C201" s="794"/>
      <c r="D201" s="794"/>
      <c r="E201" s="794"/>
      <c r="F201" s="794"/>
      <c r="G201" s="794"/>
      <c r="H201" s="794"/>
      <c r="I201" s="794"/>
      <c r="J201" s="794"/>
      <c r="K201" s="794"/>
      <c r="L201" s="794"/>
      <c r="M201" s="794"/>
      <c r="N201" s="794"/>
      <c r="O201" s="795"/>
    </row>
    <row r="202" spans="2:15" ht="14" customHeight="1" thickTop="1" thickBot="1" x14ac:dyDescent="0.2">
      <c r="B202" s="128">
        <f>+'Calendrier 2021'!B30</f>
        <v>4</v>
      </c>
      <c r="C202" s="129" t="str">
        <f>+'Calendrier 2021'!C30</f>
        <v>Lundi</v>
      </c>
      <c r="D202" s="130">
        <f>+'Calendrier 2021'!D30</f>
        <v>44214</v>
      </c>
      <c r="E202" s="130" t="str">
        <f>+'Calendrier 2021'!E30</f>
        <v>22 fev 2021</v>
      </c>
      <c r="F202" s="130">
        <f>+'Calendrier 2021'!F30</f>
        <v>44277</v>
      </c>
      <c r="G202" s="130">
        <f>+'Calendrier 2021'!G30</f>
        <v>44305</v>
      </c>
      <c r="H202" s="130">
        <f>+'Calendrier 2021'!H30</f>
        <v>44333</v>
      </c>
      <c r="I202" s="130">
        <f>+'Calendrier 2021'!I30</f>
        <v>44368</v>
      </c>
      <c r="J202" s="130">
        <f>+'Calendrier 2021'!J30</f>
        <v>44396</v>
      </c>
      <c r="K202" s="130">
        <f>+'Calendrier 2021'!K30</f>
        <v>44424</v>
      </c>
      <c r="L202" s="130">
        <f>+'Calendrier 2021'!M32</f>
        <v>44489</v>
      </c>
      <c r="M202" s="130">
        <f>+'Calendrier 2021'!M30</f>
        <v>44487</v>
      </c>
      <c r="N202" s="130">
        <f>+'Calendrier 2021'!N30</f>
        <v>44522</v>
      </c>
      <c r="O202" s="131" t="str">
        <f>+'Calendrier 2021'!O30</f>
        <v>20 dec 2021</v>
      </c>
    </row>
    <row r="203" spans="2:15" ht="14" customHeight="1" thickTop="1" x14ac:dyDescent="0.15">
      <c r="B203" s="11">
        <v>1</v>
      </c>
      <c r="C203" s="100" t="str">
        <f t="shared" ref="C203:C209" si="57">C193</f>
        <v>6 h à 9 h 30</v>
      </c>
      <c r="D203" s="12">
        <v>0</v>
      </c>
      <c r="E203" s="12">
        <v>0</v>
      </c>
      <c r="F203" s="12">
        <v>0</v>
      </c>
      <c r="G203" s="12">
        <v>0</v>
      </c>
      <c r="H203" s="12">
        <v>0</v>
      </c>
      <c r="I203" s="12">
        <v>0</v>
      </c>
      <c r="J203" s="12">
        <v>0</v>
      </c>
      <c r="K203" s="12">
        <v>0</v>
      </c>
      <c r="L203" s="12">
        <v>0</v>
      </c>
      <c r="M203" s="12">
        <v>0</v>
      </c>
      <c r="N203" s="12">
        <v>0</v>
      </c>
      <c r="O203" s="12">
        <v>0</v>
      </c>
    </row>
    <row r="204" spans="2:15" ht="14" customHeight="1" x14ac:dyDescent="0.15">
      <c r="B204" s="13">
        <v>2</v>
      </c>
      <c r="C204" s="102" t="str">
        <f t="shared" si="57"/>
        <v>9 h 30 à 11 h 30</v>
      </c>
      <c r="D204" s="312">
        <v>10</v>
      </c>
      <c r="E204" s="14">
        <v>9</v>
      </c>
      <c r="F204" s="14">
        <v>10</v>
      </c>
      <c r="G204" s="14">
        <v>11</v>
      </c>
      <c r="H204" s="14">
        <v>12</v>
      </c>
      <c r="I204" s="14">
        <v>15</v>
      </c>
      <c r="J204" s="14">
        <v>20</v>
      </c>
      <c r="K204" s="14">
        <v>18</v>
      </c>
      <c r="L204" s="14">
        <v>12</v>
      </c>
      <c r="M204" s="14">
        <v>11</v>
      </c>
      <c r="N204" s="14">
        <v>10</v>
      </c>
      <c r="O204" s="14">
        <v>12</v>
      </c>
    </row>
    <row r="205" spans="2:15" ht="14" customHeight="1" x14ac:dyDescent="0.15">
      <c r="B205" s="13">
        <v>3</v>
      </c>
      <c r="C205" s="102" t="str">
        <f t="shared" si="57"/>
        <v>11 h 30 à 14 h 30</v>
      </c>
      <c r="D205" s="22">
        <v>10</v>
      </c>
      <c r="E205" s="14">
        <v>9</v>
      </c>
      <c r="F205" s="14">
        <v>10</v>
      </c>
      <c r="G205" s="14">
        <v>11</v>
      </c>
      <c r="H205" s="14">
        <v>12</v>
      </c>
      <c r="I205" s="14">
        <v>15</v>
      </c>
      <c r="J205" s="14">
        <v>20</v>
      </c>
      <c r="K205" s="14">
        <v>18</v>
      </c>
      <c r="L205" s="14">
        <v>12</v>
      </c>
      <c r="M205" s="14">
        <v>11</v>
      </c>
      <c r="N205" s="14">
        <v>10</v>
      </c>
      <c r="O205" s="14">
        <v>12</v>
      </c>
    </row>
    <row r="206" spans="2:15" ht="14" customHeight="1" x14ac:dyDescent="0.15">
      <c r="B206" s="13">
        <v>4</v>
      </c>
      <c r="C206" s="102" t="str">
        <f t="shared" si="57"/>
        <v>14 h 30 à 17 h</v>
      </c>
      <c r="D206" s="22">
        <v>10</v>
      </c>
      <c r="E206" s="14">
        <v>9</v>
      </c>
      <c r="F206" s="14">
        <v>10</v>
      </c>
      <c r="G206" s="14">
        <v>11</v>
      </c>
      <c r="H206" s="14">
        <v>12</v>
      </c>
      <c r="I206" s="14">
        <v>15</v>
      </c>
      <c r="J206" s="14">
        <v>20</v>
      </c>
      <c r="K206" s="14">
        <v>18</v>
      </c>
      <c r="L206" s="14">
        <v>12</v>
      </c>
      <c r="M206" s="14">
        <v>11</v>
      </c>
      <c r="N206" s="14">
        <v>10</v>
      </c>
      <c r="O206" s="14">
        <v>12</v>
      </c>
    </row>
    <row r="207" spans="2:15" ht="14" customHeight="1" x14ac:dyDescent="0.15">
      <c r="B207" s="13">
        <v>5</v>
      </c>
      <c r="C207" s="102" t="str">
        <f t="shared" si="57"/>
        <v>17 h à 19 h</v>
      </c>
      <c r="D207" s="22">
        <v>10</v>
      </c>
      <c r="E207" s="14">
        <v>9</v>
      </c>
      <c r="F207" s="14">
        <v>10</v>
      </c>
      <c r="G207" s="14">
        <v>11</v>
      </c>
      <c r="H207" s="14">
        <v>12</v>
      </c>
      <c r="I207" s="14">
        <v>15</v>
      </c>
      <c r="J207" s="14">
        <v>20</v>
      </c>
      <c r="K207" s="14">
        <v>18</v>
      </c>
      <c r="L207" s="14">
        <v>12</v>
      </c>
      <c r="M207" s="14">
        <v>11</v>
      </c>
      <c r="N207" s="14">
        <v>10</v>
      </c>
      <c r="O207" s="14">
        <v>12</v>
      </c>
    </row>
    <row r="208" spans="2:15" ht="14" customHeight="1" x14ac:dyDescent="0.15">
      <c r="B208" s="13">
        <v>6</v>
      </c>
      <c r="C208" s="102" t="str">
        <f t="shared" si="57"/>
        <v>19 h à 23 h</v>
      </c>
      <c r="D208" s="22">
        <v>10</v>
      </c>
      <c r="E208" s="14">
        <v>9</v>
      </c>
      <c r="F208" s="14">
        <v>10</v>
      </c>
      <c r="G208" s="14">
        <v>11</v>
      </c>
      <c r="H208" s="14">
        <v>12</v>
      </c>
      <c r="I208" s="14">
        <v>15</v>
      </c>
      <c r="J208" s="14">
        <v>20</v>
      </c>
      <c r="K208" s="14">
        <v>18</v>
      </c>
      <c r="L208" s="14">
        <v>12</v>
      </c>
      <c r="M208" s="14">
        <v>11</v>
      </c>
      <c r="N208" s="14">
        <v>10</v>
      </c>
      <c r="O208" s="14">
        <v>12</v>
      </c>
    </row>
    <row r="209" spans="2:15" ht="14" customHeight="1" x14ac:dyDescent="0.15">
      <c r="B209" s="13">
        <v>7</v>
      </c>
      <c r="C209" s="102" t="str">
        <f t="shared" si="57"/>
        <v>23 h à 6 h</v>
      </c>
      <c r="D209" s="14">
        <v>0</v>
      </c>
      <c r="E209" s="14">
        <v>0</v>
      </c>
      <c r="F209" s="14">
        <v>0</v>
      </c>
      <c r="G209" s="14">
        <v>0</v>
      </c>
      <c r="H209" s="14">
        <v>0</v>
      </c>
      <c r="I209" s="14">
        <v>0</v>
      </c>
      <c r="J209" s="14">
        <v>0</v>
      </c>
      <c r="K209" s="14">
        <v>0</v>
      </c>
      <c r="L209" s="14">
        <v>0</v>
      </c>
      <c r="M209" s="14">
        <v>0</v>
      </c>
      <c r="N209" s="14">
        <v>0</v>
      </c>
      <c r="O209" s="14">
        <v>0</v>
      </c>
    </row>
    <row r="210" spans="2:15" ht="14" customHeight="1" thickBot="1" x14ac:dyDescent="0.2">
      <c r="B210" s="15"/>
      <c r="C210" s="301" t="str">
        <f>+C200</f>
        <v>Total</v>
      </c>
      <c r="D210" s="24">
        <f t="shared" ref="D210:L210" si="58">+D203+D204+D205+D206+D207+D208+D209</f>
        <v>50</v>
      </c>
      <c r="E210" s="24">
        <f t="shared" si="58"/>
        <v>45</v>
      </c>
      <c r="F210" s="24">
        <f t="shared" si="58"/>
        <v>50</v>
      </c>
      <c r="G210" s="24">
        <f t="shared" si="58"/>
        <v>55</v>
      </c>
      <c r="H210" s="24">
        <f t="shared" si="58"/>
        <v>60</v>
      </c>
      <c r="I210" s="24">
        <f t="shared" si="58"/>
        <v>75</v>
      </c>
      <c r="J210" s="24">
        <f t="shared" si="58"/>
        <v>100</v>
      </c>
      <c r="K210" s="24">
        <f t="shared" si="58"/>
        <v>90</v>
      </c>
      <c r="L210" s="24">
        <f t="shared" si="58"/>
        <v>60</v>
      </c>
      <c r="M210" s="24">
        <f>+M203+M204+M205+M206+M207+M208+M209</f>
        <v>55</v>
      </c>
      <c r="N210" s="24">
        <f>+N203+N204+N205+N206+N207+N208+N209</f>
        <v>50</v>
      </c>
      <c r="O210" s="24">
        <f>+O203+O204+O205+O206+O207+O208+O209</f>
        <v>60</v>
      </c>
    </row>
    <row r="211" spans="2:15" ht="14" customHeight="1" thickTop="1" thickBot="1" x14ac:dyDescent="0.2">
      <c r="B211" s="124" t="s">
        <v>2</v>
      </c>
      <c r="C211" s="299" t="str">
        <f>+'Calendrier 2021'!C31</f>
        <v>Mardi</v>
      </c>
      <c r="D211" s="77">
        <f>+'Calendrier 2021'!D31</f>
        <v>44215</v>
      </c>
      <c r="E211" s="77" t="str">
        <f>+'Calendrier 2021'!E31</f>
        <v>23 fev 2021</v>
      </c>
      <c r="F211" s="77">
        <f>+'Calendrier 2021'!F31</f>
        <v>44278</v>
      </c>
      <c r="G211" s="77">
        <f>+'Calendrier 2021'!G31</f>
        <v>44306</v>
      </c>
      <c r="H211" s="77">
        <f>+'Calendrier 2021'!H31</f>
        <v>44334</v>
      </c>
      <c r="I211" s="77">
        <f>+'Calendrier 2021'!I31</f>
        <v>44369</v>
      </c>
      <c r="J211" s="77">
        <f>+'Calendrier 2021'!J31</f>
        <v>44397</v>
      </c>
      <c r="K211" s="77">
        <f>+'Calendrier 2021'!K31</f>
        <v>44425</v>
      </c>
      <c r="L211" s="77">
        <f>+'Calendrier 2021'!L31</f>
        <v>44460</v>
      </c>
      <c r="M211" s="77">
        <f>+'Calendrier 2021'!M31</f>
        <v>44488</v>
      </c>
      <c r="N211" s="77">
        <f>+'Calendrier 2021'!N31</f>
        <v>44523</v>
      </c>
      <c r="O211" s="78" t="str">
        <f>+'Calendrier 2021'!O31</f>
        <v>21 dec 2021</v>
      </c>
    </row>
    <row r="212" spans="2:15" ht="14" customHeight="1" thickTop="1" thickBot="1" x14ac:dyDescent="0.2">
      <c r="B212" s="18">
        <v>1</v>
      </c>
      <c r="C212" s="100" t="str">
        <f t="shared" ref="C212:C218" si="59">C203</f>
        <v>6 h à 9 h 30</v>
      </c>
      <c r="D212" s="12">
        <v>0</v>
      </c>
      <c r="E212" s="12">
        <v>0</v>
      </c>
      <c r="F212" s="12">
        <v>0</v>
      </c>
      <c r="G212" s="12">
        <v>0</v>
      </c>
      <c r="H212" s="12">
        <v>0</v>
      </c>
      <c r="I212" s="12">
        <v>0</v>
      </c>
      <c r="J212" s="12">
        <v>0</v>
      </c>
      <c r="K212" s="12">
        <v>0</v>
      </c>
      <c r="L212" s="12">
        <v>0</v>
      </c>
      <c r="M212" s="12">
        <v>0</v>
      </c>
      <c r="N212" s="12">
        <v>0</v>
      </c>
      <c r="O212" s="12">
        <v>0</v>
      </c>
    </row>
    <row r="213" spans="2:15" ht="14" customHeight="1" thickTop="1" thickBot="1" x14ac:dyDescent="0.2">
      <c r="B213" s="121">
        <v>2</v>
      </c>
      <c r="C213" s="102" t="str">
        <f t="shared" si="59"/>
        <v>9 h 30 à 11 h 30</v>
      </c>
      <c r="D213" s="312">
        <v>10</v>
      </c>
      <c r="E213" s="14">
        <v>9</v>
      </c>
      <c r="F213" s="14">
        <v>10</v>
      </c>
      <c r="G213" s="14">
        <v>11</v>
      </c>
      <c r="H213" s="14">
        <v>12</v>
      </c>
      <c r="I213" s="14">
        <v>15</v>
      </c>
      <c r="J213" s="14">
        <v>20</v>
      </c>
      <c r="K213" s="14">
        <v>18</v>
      </c>
      <c r="L213" s="14">
        <v>12</v>
      </c>
      <c r="M213" s="14">
        <v>11</v>
      </c>
      <c r="N213" s="14">
        <v>10</v>
      </c>
      <c r="O213" s="14">
        <v>12</v>
      </c>
    </row>
    <row r="214" spans="2:15" ht="14" customHeight="1" thickTop="1" thickBot="1" x14ac:dyDescent="0.2">
      <c r="B214" s="121">
        <v>3</v>
      </c>
      <c r="C214" s="102" t="str">
        <f t="shared" si="59"/>
        <v>11 h 30 à 14 h 30</v>
      </c>
      <c r="D214" s="22">
        <v>10</v>
      </c>
      <c r="E214" s="14">
        <v>9</v>
      </c>
      <c r="F214" s="14">
        <v>10</v>
      </c>
      <c r="G214" s="14">
        <v>11</v>
      </c>
      <c r="H214" s="14">
        <v>12</v>
      </c>
      <c r="I214" s="14">
        <v>15</v>
      </c>
      <c r="J214" s="14">
        <v>20</v>
      </c>
      <c r="K214" s="14">
        <v>18</v>
      </c>
      <c r="L214" s="14">
        <v>12</v>
      </c>
      <c r="M214" s="14">
        <v>11</v>
      </c>
      <c r="N214" s="14">
        <v>10</v>
      </c>
      <c r="O214" s="14">
        <v>12</v>
      </c>
    </row>
    <row r="215" spans="2:15" ht="14" customHeight="1" thickTop="1" thickBot="1" x14ac:dyDescent="0.2">
      <c r="B215" s="121">
        <v>4</v>
      </c>
      <c r="C215" s="102" t="str">
        <f t="shared" si="59"/>
        <v>14 h 30 à 17 h</v>
      </c>
      <c r="D215" s="22">
        <v>10</v>
      </c>
      <c r="E215" s="14">
        <v>9</v>
      </c>
      <c r="F215" s="14">
        <v>10</v>
      </c>
      <c r="G215" s="14">
        <v>11</v>
      </c>
      <c r="H215" s="14">
        <v>12</v>
      </c>
      <c r="I215" s="14">
        <v>15</v>
      </c>
      <c r="J215" s="14">
        <v>20</v>
      </c>
      <c r="K215" s="14">
        <v>18</v>
      </c>
      <c r="L215" s="14">
        <v>12</v>
      </c>
      <c r="M215" s="14">
        <v>11</v>
      </c>
      <c r="N215" s="14">
        <v>10</v>
      </c>
      <c r="O215" s="14">
        <v>12</v>
      </c>
    </row>
    <row r="216" spans="2:15" ht="14" customHeight="1" thickTop="1" thickBot="1" x14ac:dyDescent="0.2">
      <c r="B216" s="121">
        <v>5</v>
      </c>
      <c r="C216" s="102" t="str">
        <f t="shared" si="59"/>
        <v>17 h à 19 h</v>
      </c>
      <c r="D216" s="22">
        <v>10</v>
      </c>
      <c r="E216" s="14">
        <v>9</v>
      </c>
      <c r="F216" s="14">
        <v>10</v>
      </c>
      <c r="G216" s="14">
        <v>11</v>
      </c>
      <c r="H216" s="14">
        <v>12</v>
      </c>
      <c r="I216" s="14">
        <v>15</v>
      </c>
      <c r="J216" s="14">
        <v>20</v>
      </c>
      <c r="K216" s="14">
        <v>18</v>
      </c>
      <c r="L216" s="14">
        <v>12</v>
      </c>
      <c r="M216" s="14">
        <v>11</v>
      </c>
      <c r="N216" s="14">
        <v>10</v>
      </c>
      <c r="O216" s="14">
        <v>12</v>
      </c>
    </row>
    <row r="217" spans="2:15" ht="14" customHeight="1" thickTop="1" thickBot="1" x14ac:dyDescent="0.2">
      <c r="B217" s="121">
        <v>6</v>
      </c>
      <c r="C217" s="102" t="str">
        <f t="shared" si="59"/>
        <v>19 h à 23 h</v>
      </c>
      <c r="D217" s="22">
        <v>10</v>
      </c>
      <c r="E217" s="14">
        <v>9</v>
      </c>
      <c r="F217" s="14">
        <v>10</v>
      </c>
      <c r="G217" s="14">
        <v>11</v>
      </c>
      <c r="H217" s="14">
        <v>12</v>
      </c>
      <c r="I217" s="14">
        <v>15</v>
      </c>
      <c r="J217" s="14">
        <v>20</v>
      </c>
      <c r="K217" s="14">
        <v>18</v>
      </c>
      <c r="L217" s="14">
        <v>12</v>
      </c>
      <c r="M217" s="14">
        <v>11</v>
      </c>
      <c r="N217" s="14">
        <v>10</v>
      </c>
      <c r="O217" s="14">
        <v>12</v>
      </c>
    </row>
    <row r="218" spans="2:15" ht="14" customHeight="1" thickTop="1" thickBot="1" x14ac:dyDescent="0.2">
      <c r="B218" s="121">
        <v>7</v>
      </c>
      <c r="C218" s="102" t="str">
        <f t="shared" si="59"/>
        <v>23 h à 6 h</v>
      </c>
      <c r="D218" s="14">
        <v>0</v>
      </c>
      <c r="E218" s="14">
        <v>0</v>
      </c>
      <c r="F218" s="14">
        <v>0</v>
      </c>
      <c r="G218" s="14">
        <v>0</v>
      </c>
      <c r="H218" s="14">
        <v>0</v>
      </c>
      <c r="I218" s="14">
        <v>0</v>
      </c>
      <c r="J218" s="14">
        <v>0</v>
      </c>
      <c r="K218" s="14">
        <v>0</v>
      </c>
      <c r="L218" s="14">
        <v>0</v>
      </c>
      <c r="M218" s="14">
        <v>0</v>
      </c>
      <c r="N218" s="14">
        <v>0</v>
      </c>
      <c r="O218" s="14">
        <v>0</v>
      </c>
    </row>
    <row r="219" spans="2:15" ht="14" customHeight="1" thickTop="1" thickBot="1" x14ac:dyDescent="0.2">
      <c r="B219" s="19"/>
      <c r="C219" s="21" t="str">
        <f t="shared" ref="C219" si="60">+C210</f>
        <v>Total</v>
      </c>
      <c r="D219" s="24">
        <f t="shared" ref="D219:L219" si="61">+D212+D213+D214+D215+D216+D217+D218</f>
        <v>50</v>
      </c>
      <c r="E219" s="24">
        <f t="shared" si="61"/>
        <v>45</v>
      </c>
      <c r="F219" s="24">
        <f t="shared" si="61"/>
        <v>50</v>
      </c>
      <c r="G219" s="24">
        <f t="shared" si="61"/>
        <v>55</v>
      </c>
      <c r="H219" s="24">
        <f t="shared" si="61"/>
        <v>60</v>
      </c>
      <c r="I219" s="24">
        <f t="shared" si="61"/>
        <v>75</v>
      </c>
      <c r="J219" s="24">
        <f t="shared" si="61"/>
        <v>100</v>
      </c>
      <c r="K219" s="24">
        <f t="shared" si="61"/>
        <v>90</v>
      </c>
      <c r="L219" s="24">
        <f t="shared" si="61"/>
        <v>60</v>
      </c>
      <c r="M219" s="24">
        <f>+M212+M213+M214+M215+M216+M217+M218</f>
        <v>55</v>
      </c>
      <c r="N219" s="24">
        <f>+N212+N213+N214+N215+N216+N217+N218</f>
        <v>50</v>
      </c>
      <c r="O219" s="24">
        <f>+O212+O213+O214+O215+O216+O217+O218</f>
        <v>60</v>
      </c>
    </row>
    <row r="220" spans="2:15" ht="14" customHeight="1" thickTop="1" thickBot="1" x14ac:dyDescent="0.2">
      <c r="B220" s="124" t="s">
        <v>2</v>
      </c>
      <c r="C220" s="125" t="str">
        <f>+'Calendrier 2021'!C32</f>
        <v>Mercredi</v>
      </c>
      <c r="D220" s="77">
        <f>+'Calendrier 2021'!D32</f>
        <v>44216</v>
      </c>
      <c r="E220" s="77" t="str">
        <f>+'Calendrier 2021'!E32</f>
        <v>24 fev 2021</v>
      </c>
      <c r="F220" s="77">
        <f>+'Calendrier 2021'!F32</f>
        <v>44279</v>
      </c>
      <c r="G220" s="77">
        <f>+'Calendrier 2021'!G32</f>
        <v>44307</v>
      </c>
      <c r="H220" s="77">
        <f>+'Calendrier 2021'!H32</f>
        <v>44335</v>
      </c>
      <c r="I220" s="77">
        <f>+'Calendrier 2021'!I32</f>
        <v>44370</v>
      </c>
      <c r="J220" s="77">
        <f>+'Calendrier 2021'!J32</f>
        <v>44398</v>
      </c>
      <c r="K220" s="77">
        <f>+'Calendrier 2021'!K32</f>
        <v>44426</v>
      </c>
      <c r="L220" s="77">
        <f>+'Calendrier 2021'!L32</f>
        <v>44461</v>
      </c>
      <c r="M220" s="77">
        <f>+'Calendrier 2021'!M32</f>
        <v>44489</v>
      </c>
      <c r="N220" s="77">
        <f>+'Calendrier 2021'!N32</f>
        <v>44524</v>
      </c>
      <c r="O220" s="78" t="str">
        <f>+'Calendrier 2021'!O32</f>
        <v>22 dec 2021</v>
      </c>
    </row>
    <row r="221" spans="2:15" ht="14" customHeight="1" thickTop="1" thickBot="1" x14ac:dyDescent="0.2">
      <c r="B221" s="18">
        <v>1</v>
      </c>
      <c r="C221" s="100" t="str">
        <f t="shared" ref="C221:C227" si="62">C212</f>
        <v>6 h à 9 h 30</v>
      </c>
      <c r="D221" s="12">
        <v>0</v>
      </c>
      <c r="E221" s="12">
        <v>0</v>
      </c>
      <c r="F221" s="12">
        <v>0</v>
      </c>
      <c r="G221" s="12">
        <v>0</v>
      </c>
      <c r="H221" s="12">
        <v>0</v>
      </c>
      <c r="I221" s="12">
        <v>0</v>
      </c>
      <c r="J221" s="12">
        <v>0</v>
      </c>
      <c r="K221" s="12">
        <v>0</v>
      </c>
      <c r="L221" s="12">
        <v>0</v>
      </c>
      <c r="M221" s="12">
        <v>0</v>
      </c>
      <c r="N221" s="12">
        <v>0</v>
      </c>
      <c r="O221" s="12">
        <v>0</v>
      </c>
    </row>
    <row r="222" spans="2:15" ht="14" customHeight="1" thickTop="1" thickBot="1" x14ac:dyDescent="0.2">
      <c r="B222" s="121">
        <v>2</v>
      </c>
      <c r="C222" s="102" t="str">
        <f t="shared" si="62"/>
        <v>9 h 30 à 11 h 30</v>
      </c>
      <c r="D222" s="312">
        <v>10</v>
      </c>
      <c r="E222" s="14">
        <v>9</v>
      </c>
      <c r="F222" s="14">
        <v>10</v>
      </c>
      <c r="G222" s="14">
        <v>11</v>
      </c>
      <c r="H222" s="14">
        <v>12</v>
      </c>
      <c r="I222" s="14">
        <v>15</v>
      </c>
      <c r="J222" s="14">
        <v>20</v>
      </c>
      <c r="K222" s="14">
        <v>18</v>
      </c>
      <c r="L222" s="14">
        <v>12</v>
      </c>
      <c r="M222" s="14">
        <v>11</v>
      </c>
      <c r="N222" s="14">
        <v>10</v>
      </c>
      <c r="O222" s="14">
        <v>12</v>
      </c>
    </row>
    <row r="223" spans="2:15" ht="14" customHeight="1" thickTop="1" thickBot="1" x14ac:dyDescent="0.2">
      <c r="B223" s="121">
        <v>3</v>
      </c>
      <c r="C223" s="102" t="str">
        <f t="shared" si="62"/>
        <v>11 h 30 à 14 h 30</v>
      </c>
      <c r="D223" s="22">
        <v>10</v>
      </c>
      <c r="E223" s="14">
        <v>9</v>
      </c>
      <c r="F223" s="14">
        <v>10</v>
      </c>
      <c r="G223" s="14">
        <v>11</v>
      </c>
      <c r="H223" s="14">
        <v>12</v>
      </c>
      <c r="I223" s="14">
        <v>15</v>
      </c>
      <c r="J223" s="14">
        <v>20</v>
      </c>
      <c r="K223" s="14">
        <v>18</v>
      </c>
      <c r="L223" s="14">
        <v>12</v>
      </c>
      <c r="M223" s="14">
        <v>11</v>
      </c>
      <c r="N223" s="14">
        <v>10</v>
      </c>
      <c r="O223" s="14">
        <v>12</v>
      </c>
    </row>
    <row r="224" spans="2:15" ht="14" customHeight="1" thickTop="1" thickBot="1" x14ac:dyDescent="0.2">
      <c r="B224" s="121">
        <v>4</v>
      </c>
      <c r="C224" s="102" t="str">
        <f t="shared" si="62"/>
        <v>14 h 30 à 17 h</v>
      </c>
      <c r="D224" s="22">
        <v>10</v>
      </c>
      <c r="E224" s="14">
        <v>9</v>
      </c>
      <c r="F224" s="14">
        <v>10</v>
      </c>
      <c r="G224" s="14">
        <v>11</v>
      </c>
      <c r="H224" s="14">
        <v>12</v>
      </c>
      <c r="I224" s="14">
        <v>15</v>
      </c>
      <c r="J224" s="14">
        <v>20</v>
      </c>
      <c r="K224" s="14">
        <v>18</v>
      </c>
      <c r="L224" s="14">
        <v>12</v>
      </c>
      <c r="M224" s="14">
        <v>11</v>
      </c>
      <c r="N224" s="14">
        <v>10</v>
      </c>
      <c r="O224" s="14">
        <v>12</v>
      </c>
    </row>
    <row r="225" spans="2:15" ht="14" customHeight="1" thickTop="1" thickBot="1" x14ac:dyDescent="0.2">
      <c r="B225" s="121">
        <v>5</v>
      </c>
      <c r="C225" s="102" t="str">
        <f t="shared" si="62"/>
        <v>17 h à 19 h</v>
      </c>
      <c r="D225" s="22">
        <v>10</v>
      </c>
      <c r="E225" s="14">
        <v>9</v>
      </c>
      <c r="F225" s="14">
        <v>10</v>
      </c>
      <c r="G225" s="14">
        <v>11</v>
      </c>
      <c r="H225" s="14">
        <v>12</v>
      </c>
      <c r="I225" s="14">
        <v>15</v>
      </c>
      <c r="J225" s="14">
        <v>20</v>
      </c>
      <c r="K225" s="14">
        <v>18</v>
      </c>
      <c r="L225" s="14">
        <v>12</v>
      </c>
      <c r="M225" s="14">
        <v>11</v>
      </c>
      <c r="N225" s="14">
        <v>10</v>
      </c>
      <c r="O225" s="14">
        <v>12</v>
      </c>
    </row>
    <row r="226" spans="2:15" ht="14" customHeight="1" thickTop="1" thickBot="1" x14ac:dyDescent="0.2">
      <c r="B226" s="121">
        <v>6</v>
      </c>
      <c r="C226" s="102" t="str">
        <f t="shared" si="62"/>
        <v>19 h à 23 h</v>
      </c>
      <c r="D226" s="22">
        <v>10</v>
      </c>
      <c r="E226" s="14">
        <v>9</v>
      </c>
      <c r="F226" s="14">
        <v>10</v>
      </c>
      <c r="G226" s="14">
        <v>11</v>
      </c>
      <c r="H226" s="14">
        <v>12</v>
      </c>
      <c r="I226" s="14">
        <v>15</v>
      </c>
      <c r="J226" s="14">
        <v>20</v>
      </c>
      <c r="K226" s="14">
        <v>18</v>
      </c>
      <c r="L226" s="14">
        <v>12</v>
      </c>
      <c r="M226" s="14">
        <v>11</v>
      </c>
      <c r="N226" s="14">
        <v>10</v>
      </c>
      <c r="O226" s="14">
        <v>12</v>
      </c>
    </row>
    <row r="227" spans="2:15" ht="14" customHeight="1" thickTop="1" thickBot="1" x14ac:dyDescent="0.2">
      <c r="B227" s="121">
        <v>7</v>
      </c>
      <c r="C227" s="102" t="str">
        <f t="shared" si="62"/>
        <v>23 h à 6 h</v>
      </c>
      <c r="D227" s="14">
        <v>0</v>
      </c>
      <c r="E227" s="14">
        <v>0</v>
      </c>
      <c r="F227" s="14">
        <v>0</v>
      </c>
      <c r="G227" s="14">
        <v>0</v>
      </c>
      <c r="H227" s="14">
        <v>0</v>
      </c>
      <c r="I227" s="14">
        <v>0</v>
      </c>
      <c r="J227" s="14">
        <v>0</v>
      </c>
      <c r="K227" s="14">
        <v>0</v>
      </c>
      <c r="L227" s="14">
        <v>0</v>
      </c>
      <c r="M227" s="14">
        <v>0</v>
      </c>
      <c r="N227" s="14">
        <v>0</v>
      </c>
      <c r="O227" s="14">
        <v>0</v>
      </c>
    </row>
    <row r="228" spans="2:15" ht="14" customHeight="1" thickTop="1" thickBot="1" x14ac:dyDescent="0.2">
      <c r="B228" s="19"/>
      <c r="C228" s="298" t="str">
        <f t="shared" ref="C228" si="63">+C210</f>
        <v>Total</v>
      </c>
      <c r="D228" s="24">
        <f t="shared" ref="D228:L228" si="64">+D221+D222+D223+D224+D225+D226+D227</f>
        <v>50</v>
      </c>
      <c r="E228" s="24">
        <f t="shared" si="64"/>
        <v>45</v>
      </c>
      <c r="F228" s="24">
        <f t="shared" si="64"/>
        <v>50</v>
      </c>
      <c r="G228" s="24">
        <f t="shared" si="64"/>
        <v>55</v>
      </c>
      <c r="H228" s="24">
        <f t="shared" si="64"/>
        <v>60</v>
      </c>
      <c r="I228" s="24">
        <f t="shared" si="64"/>
        <v>75</v>
      </c>
      <c r="J228" s="24">
        <f t="shared" si="64"/>
        <v>100</v>
      </c>
      <c r="K228" s="24">
        <f t="shared" si="64"/>
        <v>90</v>
      </c>
      <c r="L228" s="24">
        <f t="shared" si="64"/>
        <v>60</v>
      </c>
      <c r="M228" s="24">
        <f>+M221+M222+M223+M224+M225+M226+M227</f>
        <v>55</v>
      </c>
      <c r="N228" s="24">
        <f>+N221+N222+N223+N224+N225+N226+N227</f>
        <v>50</v>
      </c>
      <c r="O228" s="24">
        <f>+O221+O222+O223+O224+O225+O226+O227</f>
        <v>60</v>
      </c>
    </row>
    <row r="229" spans="2:15" ht="14" customHeight="1" thickTop="1" thickBot="1" x14ac:dyDescent="0.2">
      <c r="B229" s="124" t="s">
        <v>2</v>
      </c>
      <c r="C229" s="299" t="str">
        <f>+'Calendrier 2021'!C33</f>
        <v>Jeudi</v>
      </c>
      <c r="D229" s="77">
        <f>+'Calendrier 2021'!D33</f>
        <v>44217</v>
      </c>
      <c r="E229" s="77" t="str">
        <f>+'Calendrier 2021'!E33</f>
        <v>25 fev 2021</v>
      </c>
      <c r="F229" s="77">
        <f>+'Calendrier 2021'!F33</f>
        <v>44280</v>
      </c>
      <c r="G229" s="77">
        <f>+'Calendrier 2021'!G33</f>
        <v>44308</v>
      </c>
      <c r="H229" s="77">
        <f>+'Calendrier 2021'!H33</f>
        <v>44336</v>
      </c>
      <c r="I229" s="77">
        <f>+'Calendrier 2021'!I33</f>
        <v>44371</v>
      </c>
      <c r="J229" s="77">
        <f>+'Calendrier 2021'!J33</f>
        <v>44399</v>
      </c>
      <c r="K229" s="77">
        <f>+'Calendrier 2021'!K33</f>
        <v>44427</v>
      </c>
      <c r="L229" s="77">
        <f>+'Calendrier 2021'!L33</f>
        <v>44462</v>
      </c>
      <c r="M229" s="77">
        <f>+'Calendrier 2021'!M33</f>
        <v>44490</v>
      </c>
      <c r="N229" s="77">
        <f>+'Calendrier 2021'!N33</f>
        <v>44525</v>
      </c>
      <c r="O229" s="78" t="str">
        <f>+'Calendrier 2021'!O33</f>
        <v>23 dec 2021</v>
      </c>
    </row>
    <row r="230" spans="2:15" ht="14" customHeight="1" thickTop="1" thickBot="1" x14ac:dyDescent="0.2">
      <c r="B230" s="18">
        <v>1</v>
      </c>
      <c r="C230" s="100" t="str">
        <f t="shared" ref="C230:C236" si="65">C221</f>
        <v>6 h à 9 h 30</v>
      </c>
      <c r="D230" s="12">
        <v>0</v>
      </c>
      <c r="E230" s="12">
        <v>0</v>
      </c>
      <c r="F230" s="12">
        <v>0</v>
      </c>
      <c r="G230" s="12">
        <v>0</v>
      </c>
      <c r="H230" s="12">
        <v>0</v>
      </c>
      <c r="I230" s="12">
        <v>0</v>
      </c>
      <c r="J230" s="12">
        <v>0</v>
      </c>
      <c r="K230" s="12">
        <v>0</v>
      </c>
      <c r="L230" s="12">
        <v>0</v>
      </c>
      <c r="M230" s="12">
        <v>0</v>
      </c>
      <c r="N230" s="12">
        <v>0</v>
      </c>
      <c r="O230" s="12">
        <v>0</v>
      </c>
    </row>
    <row r="231" spans="2:15" ht="14" customHeight="1" thickTop="1" thickBot="1" x14ac:dyDescent="0.2">
      <c r="B231" s="121">
        <v>2</v>
      </c>
      <c r="C231" s="102" t="str">
        <f t="shared" si="65"/>
        <v>9 h 30 à 11 h 30</v>
      </c>
      <c r="D231" s="312">
        <v>10</v>
      </c>
      <c r="E231" s="14">
        <v>9</v>
      </c>
      <c r="F231" s="14">
        <v>10</v>
      </c>
      <c r="G231" s="14">
        <v>11</v>
      </c>
      <c r="H231" s="14">
        <v>12</v>
      </c>
      <c r="I231" s="14">
        <v>15</v>
      </c>
      <c r="J231" s="14">
        <v>20</v>
      </c>
      <c r="K231" s="14">
        <v>18</v>
      </c>
      <c r="L231" s="14">
        <v>12</v>
      </c>
      <c r="M231" s="14">
        <v>11</v>
      </c>
      <c r="N231" s="14">
        <v>10</v>
      </c>
      <c r="O231" s="14">
        <v>12</v>
      </c>
    </row>
    <row r="232" spans="2:15" ht="14" customHeight="1" thickTop="1" thickBot="1" x14ac:dyDescent="0.2">
      <c r="B232" s="121">
        <v>3</v>
      </c>
      <c r="C232" s="102" t="str">
        <f t="shared" si="65"/>
        <v>11 h 30 à 14 h 30</v>
      </c>
      <c r="D232" s="22">
        <v>10</v>
      </c>
      <c r="E232" s="14">
        <v>9</v>
      </c>
      <c r="F232" s="14">
        <v>10</v>
      </c>
      <c r="G232" s="14">
        <v>11</v>
      </c>
      <c r="H232" s="14">
        <v>12</v>
      </c>
      <c r="I232" s="14">
        <v>15</v>
      </c>
      <c r="J232" s="14">
        <v>20</v>
      </c>
      <c r="K232" s="14">
        <v>18</v>
      </c>
      <c r="L232" s="14">
        <v>12</v>
      </c>
      <c r="M232" s="14">
        <v>11</v>
      </c>
      <c r="N232" s="14">
        <v>10</v>
      </c>
      <c r="O232" s="14">
        <v>12</v>
      </c>
    </row>
    <row r="233" spans="2:15" ht="14" customHeight="1" thickTop="1" thickBot="1" x14ac:dyDescent="0.2">
      <c r="B233" s="121">
        <v>4</v>
      </c>
      <c r="C233" s="102" t="str">
        <f t="shared" si="65"/>
        <v>14 h 30 à 17 h</v>
      </c>
      <c r="D233" s="22">
        <v>10</v>
      </c>
      <c r="E233" s="14">
        <v>9</v>
      </c>
      <c r="F233" s="14">
        <v>10</v>
      </c>
      <c r="G233" s="14">
        <v>11</v>
      </c>
      <c r="H233" s="14">
        <v>12</v>
      </c>
      <c r="I233" s="14">
        <v>15</v>
      </c>
      <c r="J233" s="14">
        <v>20</v>
      </c>
      <c r="K233" s="14">
        <v>18</v>
      </c>
      <c r="L233" s="14">
        <v>12</v>
      </c>
      <c r="M233" s="14">
        <v>11</v>
      </c>
      <c r="N233" s="14">
        <v>10</v>
      </c>
      <c r="O233" s="14">
        <v>12</v>
      </c>
    </row>
    <row r="234" spans="2:15" ht="14" customHeight="1" thickTop="1" thickBot="1" x14ac:dyDescent="0.2">
      <c r="B234" s="121">
        <v>5</v>
      </c>
      <c r="C234" s="102" t="str">
        <f t="shared" si="65"/>
        <v>17 h à 19 h</v>
      </c>
      <c r="D234" s="22">
        <v>10</v>
      </c>
      <c r="E234" s="14">
        <v>9</v>
      </c>
      <c r="F234" s="14">
        <v>10</v>
      </c>
      <c r="G234" s="14">
        <v>11</v>
      </c>
      <c r="H234" s="14">
        <v>12</v>
      </c>
      <c r="I234" s="14">
        <v>15</v>
      </c>
      <c r="J234" s="14">
        <v>20</v>
      </c>
      <c r="K234" s="14">
        <v>18</v>
      </c>
      <c r="L234" s="14">
        <v>12</v>
      </c>
      <c r="M234" s="14">
        <v>11</v>
      </c>
      <c r="N234" s="14">
        <v>10</v>
      </c>
      <c r="O234" s="14">
        <v>12</v>
      </c>
    </row>
    <row r="235" spans="2:15" ht="14" customHeight="1" thickTop="1" thickBot="1" x14ac:dyDescent="0.2">
      <c r="B235" s="121">
        <v>6</v>
      </c>
      <c r="C235" s="102" t="str">
        <f t="shared" si="65"/>
        <v>19 h à 23 h</v>
      </c>
      <c r="D235" s="22">
        <v>10</v>
      </c>
      <c r="E235" s="14">
        <v>9</v>
      </c>
      <c r="F235" s="14">
        <v>10</v>
      </c>
      <c r="G235" s="14">
        <v>11</v>
      </c>
      <c r="H235" s="14">
        <v>12</v>
      </c>
      <c r="I235" s="14">
        <v>15</v>
      </c>
      <c r="J235" s="14">
        <v>20</v>
      </c>
      <c r="K235" s="14">
        <v>18</v>
      </c>
      <c r="L235" s="14">
        <v>12</v>
      </c>
      <c r="M235" s="14">
        <v>11</v>
      </c>
      <c r="N235" s="14">
        <v>10</v>
      </c>
      <c r="O235" s="14">
        <v>12</v>
      </c>
    </row>
    <row r="236" spans="2:15" ht="14" customHeight="1" thickTop="1" thickBot="1" x14ac:dyDescent="0.2">
      <c r="B236" s="121">
        <v>7</v>
      </c>
      <c r="C236" s="102" t="str">
        <f t="shared" si="65"/>
        <v>23 h à 6 h</v>
      </c>
      <c r="D236" s="14">
        <v>0</v>
      </c>
      <c r="E236" s="14">
        <v>0</v>
      </c>
      <c r="F236" s="14">
        <v>0</v>
      </c>
      <c r="G236" s="14">
        <v>0</v>
      </c>
      <c r="H236" s="14">
        <v>0</v>
      </c>
      <c r="I236" s="14">
        <v>0</v>
      </c>
      <c r="J236" s="14">
        <v>0</v>
      </c>
      <c r="K236" s="14">
        <v>0</v>
      </c>
      <c r="L236" s="14">
        <v>0</v>
      </c>
      <c r="M236" s="14">
        <v>0</v>
      </c>
      <c r="N236" s="14">
        <v>0</v>
      </c>
      <c r="O236" s="14">
        <v>0</v>
      </c>
    </row>
    <row r="237" spans="2:15" ht="14" customHeight="1" thickTop="1" thickBot="1" x14ac:dyDescent="0.2">
      <c r="B237" s="19"/>
      <c r="C237" s="21" t="str">
        <f>+C228</f>
        <v>Total</v>
      </c>
      <c r="D237" s="24">
        <f t="shared" ref="D237:L237" si="66">+D230+D231+D232+D233+D234+D235+D236</f>
        <v>50</v>
      </c>
      <c r="E237" s="24">
        <f t="shared" si="66"/>
        <v>45</v>
      </c>
      <c r="F237" s="24">
        <f t="shared" si="66"/>
        <v>50</v>
      </c>
      <c r="G237" s="24">
        <f t="shared" si="66"/>
        <v>55</v>
      </c>
      <c r="H237" s="24">
        <f t="shared" si="66"/>
        <v>60</v>
      </c>
      <c r="I237" s="24">
        <f t="shared" si="66"/>
        <v>75</v>
      </c>
      <c r="J237" s="24">
        <f t="shared" si="66"/>
        <v>100</v>
      </c>
      <c r="K237" s="24">
        <f t="shared" si="66"/>
        <v>90</v>
      </c>
      <c r="L237" s="24">
        <f t="shared" si="66"/>
        <v>60</v>
      </c>
      <c r="M237" s="24">
        <f>+M230+M231+M232+M233+M234+M235+M236</f>
        <v>55</v>
      </c>
      <c r="N237" s="24">
        <f>+N230+N231+N232+N233+N234+N235+N236</f>
        <v>50</v>
      </c>
      <c r="O237" s="24">
        <f>+O230+O231+O232+O233+O234+O235+O236</f>
        <v>60</v>
      </c>
    </row>
    <row r="238" spans="2:15" ht="14" customHeight="1" thickTop="1" thickBot="1" x14ac:dyDescent="0.2">
      <c r="B238" s="124" t="s">
        <v>2</v>
      </c>
      <c r="C238" s="125" t="str">
        <f>+'Calendrier 2021'!C34</f>
        <v>Vendredi</v>
      </c>
      <c r="D238" s="77">
        <f>+'Calendrier 2021'!D34</f>
        <v>44218</v>
      </c>
      <c r="E238" s="77" t="str">
        <f>+'Calendrier 2021'!E34</f>
        <v>26 fev 2021</v>
      </c>
      <c r="F238" s="77">
        <f>+'Calendrier 2021'!F34</f>
        <v>44281</v>
      </c>
      <c r="G238" s="77">
        <f>+'Calendrier 2021'!G34</f>
        <v>44309</v>
      </c>
      <c r="H238" s="77">
        <f>+'Calendrier 2021'!H34</f>
        <v>44337</v>
      </c>
      <c r="I238" s="77">
        <f>+'Calendrier 2021'!I34</f>
        <v>44372</v>
      </c>
      <c r="J238" s="77">
        <f>+'Calendrier 2021'!J34</f>
        <v>44400</v>
      </c>
      <c r="K238" s="77">
        <f>+'Calendrier 2021'!K34</f>
        <v>44428</v>
      </c>
      <c r="L238" s="77">
        <f>+'Calendrier 2021'!L34</f>
        <v>44463</v>
      </c>
      <c r="M238" s="77">
        <f>+'Calendrier 2021'!M34</f>
        <v>44491</v>
      </c>
      <c r="N238" s="77">
        <f>+'Calendrier 2021'!N34</f>
        <v>44526</v>
      </c>
      <c r="O238" s="78" t="str">
        <f>+'Calendrier 2021'!O34</f>
        <v>24 dec 2021</v>
      </c>
    </row>
    <row r="239" spans="2:15" ht="14" customHeight="1" thickTop="1" thickBot="1" x14ac:dyDescent="0.2">
      <c r="B239" s="18">
        <v>1</v>
      </c>
      <c r="C239" s="100" t="str">
        <f t="shared" ref="C239:C245" si="67">C230</f>
        <v>6 h à 9 h 30</v>
      </c>
      <c r="D239" s="12">
        <v>0</v>
      </c>
      <c r="E239" s="12">
        <v>0</v>
      </c>
      <c r="F239" s="12">
        <v>0</v>
      </c>
      <c r="G239" s="12">
        <v>0</v>
      </c>
      <c r="H239" s="12">
        <v>0</v>
      </c>
      <c r="I239" s="12">
        <v>0</v>
      </c>
      <c r="J239" s="12">
        <v>0</v>
      </c>
      <c r="K239" s="12">
        <v>0</v>
      </c>
      <c r="L239" s="12">
        <v>0</v>
      </c>
      <c r="M239" s="12">
        <v>0</v>
      </c>
      <c r="N239" s="12">
        <v>0</v>
      </c>
      <c r="O239" s="12">
        <v>0</v>
      </c>
    </row>
    <row r="240" spans="2:15" ht="14" customHeight="1" thickTop="1" thickBot="1" x14ac:dyDescent="0.2">
      <c r="B240" s="121">
        <v>2</v>
      </c>
      <c r="C240" s="102" t="str">
        <f t="shared" si="67"/>
        <v>9 h 30 à 11 h 30</v>
      </c>
      <c r="D240" s="312">
        <v>10</v>
      </c>
      <c r="E240" s="14">
        <v>9</v>
      </c>
      <c r="F240" s="14">
        <v>10</v>
      </c>
      <c r="G240" s="14">
        <v>11</v>
      </c>
      <c r="H240" s="14">
        <v>12</v>
      </c>
      <c r="I240" s="14">
        <v>15</v>
      </c>
      <c r="J240" s="14">
        <v>20</v>
      </c>
      <c r="K240" s="14">
        <v>18</v>
      </c>
      <c r="L240" s="14">
        <v>12</v>
      </c>
      <c r="M240" s="14">
        <v>11</v>
      </c>
      <c r="N240" s="14">
        <v>10</v>
      </c>
      <c r="O240" s="14">
        <v>12</v>
      </c>
    </row>
    <row r="241" spans="2:16" ht="14" customHeight="1" thickTop="1" thickBot="1" x14ac:dyDescent="0.2">
      <c r="B241" s="121">
        <v>3</v>
      </c>
      <c r="C241" s="102" t="str">
        <f t="shared" si="67"/>
        <v>11 h 30 à 14 h 30</v>
      </c>
      <c r="D241" s="22">
        <v>10</v>
      </c>
      <c r="E241" s="14">
        <v>9</v>
      </c>
      <c r="F241" s="14">
        <v>10</v>
      </c>
      <c r="G241" s="14">
        <v>11</v>
      </c>
      <c r="H241" s="14">
        <v>12</v>
      </c>
      <c r="I241" s="14">
        <v>15</v>
      </c>
      <c r="J241" s="14">
        <v>20</v>
      </c>
      <c r="K241" s="14">
        <v>18</v>
      </c>
      <c r="L241" s="14">
        <v>12</v>
      </c>
      <c r="M241" s="14">
        <v>11</v>
      </c>
      <c r="N241" s="14">
        <v>10</v>
      </c>
      <c r="O241" s="14">
        <v>12</v>
      </c>
      <c r="P241" s="25" t="s">
        <v>2</v>
      </c>
    </row>
    <row r="242" spans="2:16" ht="14" customHeight="1" thickTop="1" thickBot="1" x14ac:dyDescent="0.2">
      <c r="B242" s="121">
        <v>4</v>
      </c>
      <c r="C242" s="102" t="str">
        <f t="shared" si="67"/>
        <v>14 h 30 à 17 h</v>
      </c>
      <c r="D242" s="22">
        <v>10</v>
      </c>
      <c r="E242" s="14">
        <v>9</v>
      </c>
      <c r="F242" s="14">
        <v>10</v>
      </c>
      <c r="G242" s="14">
        <v>11</v>
      </c>
      <c r="H242" s="14">
        <v>12</v>
      </c>
      <c r="I242" s="14">
        <v>15</v>
      </c>
      <c r="J242" s="14">
        <v>20</v>
      </c>
      <c r="K242" s="14">
        <v>18</v>
      </c>
      <c r="L242" s="14">
        <v>12</v>
      </c>
      <c r="M242" s="14">
        <v>11</v>
      </c>
      <c r="N242" s="14">
        <v>10</v>
      </c>
      <c r="O242" s="14">
        <v>12</v>
      </c>
    </row>
    <row r="243" spans="2:16" ht="14" customHeight="1" thickTop="1" thickBot="1" x14ac:dyDescent="0.2">
      <c r="B243" s="121">
        <v>5</v>
      </c>
      <c r="C243" s="102" t="str">
        <f t="shared" si="67"/>
        <v>17 h à 19 h</v>
      </c>
      <c r="D243" s="22">
        <v>10</v>
      </c>
      <c r="E243" s="14">
        <v>9</v>
      </c>
      <c r="F243" s="14">
        <v>10</v>
      </c>
      <c r="G243" s="14">
        <v>11</v>
      </c>
      <c r="H243" s="14">
        <v>12</v>
      </c>
      <c r="I243" s="14">
        <v>15</v>
      </c>
      <c r="J243" s="14">
        <v>20</v>
      </c>
      <c r="K243" s="14">
        <v>18</v>
      </c>
      <c r="L243" s="14">
        <v>12</v>
      </c>
      <c r="M243" s="14">
        <v>11</v>
      </c>
      <c r="N243" s="14">
        <v>10</v>
      </c>
      <c r="O243" s="14">
        <v>12</v>
      </c>
    </row>
    <row r="244" spans="2:16" ht="14" customHeight="1" thickTop="1" thickBot="1" x14ac:dyDescent="0.2">
      <c r="B244" s="121">
        <v>6</v>
      </c>
      <c r="C244" s="102" t="str">
        <f t="shared" si="67"/>
        <v>19 h à 23 h</v>
      </c>
      <c r="D244" s="22">
        <v>10</v>
      </c>
      <c r="E244" s="14">
        <v>9</v>
      </c>
      <c r="F244" s="14">
        <v>10</v>
      </c>
      <c r="G244" s="14">
        <v>11</v>
      </c>
      <c r="H244" s="14">
        <v>12</v>
      </c>
      <c r="I244" s="14">
        <v>15</v>
      </c>
      <c r="J244" s="14">
        <v>20</v>
      </c>
      <c r="K244" s="14">
        <v>18</v>
      </c>
      <c r="L244" s="14">
        <v>12</v>
      </c>
      <c r="M244" s="14">
        <v>11</v>
      </c>
      <c r="N244" s="14">
        <v>10</v>
      </c>
      <c r="O244" s="14">
        <v>12</v>
      </c>
    </row>
    <row r="245" spans="2:16" ht="14" customHeight="1" thickTop="1" thickBot="1" x14ac:dyDescent="0.2">
      <c r="B245" s="121">
        <v>7</v>
      </c>
      <c r="C245" s="102" t="str">
        <f t="shared" si="67"/>
        <v>23 h à 6 h</v>
      </c>
      <c r="D245" s="14">
        <v>0</v>
      </c>
      <c r="E245" s="14">
        <v>0</v>
      </c>
      <c r="F245" s="14">
        <v>0</v>
      </c>
      <c r="G245" s="14">
        <v>0</v>
      </c>
      <c r="H245" s="14">
        <v>0</v>
      </c>
      <c r="I245" s="14">
        <v>0</v>
      </c>
      <c r="J245" s="14">
        <v>0</v>
      </c>
      <c r="K245" s="14">
        <v>0</v>
      </c>
      <c r="L245" s="14">
        <v>0</v>
      </c>
      <c r="M245" s="14">
        <v>0</v>
      </c>
      <c r="N245" s="14">
        <v>0</v>
      </c>
      <c r="O245" s="14">
        <v>0</v>
      </c>
    </row>
    <row r="246" spans="2:16" ht="14" customHeight="1" thickTop="1" thickBot="1" x14ac:dyDescent="0.2">
      <c r="B246" s="19"/>
      <c r="C246" s="298" t="str">
        <f t="shared" ref="C246" si="68">+C237</f>
        <v>Total</v>
      </c>
      <c r="D246" s="24">
        <f t="shared" ref="D246:L246" si="69">+D239+D240+D241+D242+D243+D244+D245</f>
        <v>50</v>
      </c>
      <c r="E246" s="24">
        <f t="shared" si="69"/>
        <v>45</v>
      </c>
      <c r="F246" s="24">
        <f t="shared" si="69"/>
        <v>50</v>
      </c>
      <c r="G246" s="24">
        <f t="shared" si="69"/>
        <v>55</v>
      </c>
      <c r="H246" s="24">
        <f t="shared" si="69"/>
        <v>60</v>
      </c>
      <c r="I246" s="24">
        <f t="shared" si="69"/>
        <v>75</v>
      </c>
      <c r="J246" s="24">
        <f t="shared" si="69"/>
        <v>100</v>
      </c>
      <c r="K246" s="24">
        <f t="shared" si="69"/>
        <v>90</v>
      </c>
      <c r="L246" s="24">
        <f t="shared" si="69"/>
        <v>60</v>
      </c>
      <c r="M246" s="24">
        <f>+M239+M240+M241+M242+M243+M244+M245</f>
        <v>55</v>
      </c>
      <c r="N246" s="24">
        <f>+N239+N240+N241+N242+N243+N244+N245</f>
        <v>50</v>
      </c>
      <c r="O246" s="24">
        <f>+O239+O240+O241+O242+O243+O244+O245</f>
        <v>60</v>
      </c>
    </row>
    <row r="247" spans="2:16" ht="14" customHeight="1" thickTop="1" thickBot="1" x14ac:dyDescent="0.2">
      <c r="B247" s="124" t="s">
        <v>2</v>
      </c>
      <c r="C247" s="299" t="str">
        <f>+'Calendrier 2021'!C35</f>
        <v>Samedi</v>
      </c>
      <c r="D247" s="77">
        <f>+'Calendrier 2021'!D35</f>
        <v>44219</v>
      </c>
      <c r="E247" s="77" t="str">
        <f>+'Calendrier 2021'!E35</f>
        <v>27 fev 2021</v>
      </c>
      <c r="F247" s="77">
        <f>+'Calendrier 2021'!F35</f>
        <v>44282</v>
      </c>
      <c r="G247" s="77">
        <f>+'Calendrier 2021'!G35</f>
        <v>44310</v>
      </c>
      <c r="H247" s="77">
        <f>+'Calendrier 2021'!H35</f>
        <v>44338</v>
      </c>
      <c r="I247" s="77">
        <f>+'Calendrier 2021'!I35</f>
        <v>44373</v>
      </c>
      <c r="J247" s="77">
        <f>+'Calendrier 2021'!J35</f>
        <v>44401</v>
      </c>
      <c r="K247" s="77">
        <f>+'Calendrier 2021'!K35</f>
        <v>44429</v>
      </c>
      <c r="L247" s="77">
        <f>+'Calendrier 2021'!L35</f>
        <v>44464</v>
      </c>
      <c r="M247" s="77">
        <f>+'Calendrier 2021'!M35</f>
        <v>44492</v>
      </c>
      <c r="N247" s="77">
        <f>+'Calendrier 2021'!N35</f>
        <v>44527</v>
      </c>
      <c r="O247" s="78" t="str">
        <f>+'Calendrier 2021'!O35</f>
        <v>25 dec 2021</v>
      </c>
    </row>
    <row r="248" spans="2:16" ht="14" customHeight="1" thickTop="1" thickBot="1" x14ac:dyDescent="0.2">
      <c r="B248" s="18">
        <v>1</v>
      </c>
      <c r="C248" s="100" t="str">
        <f t="shared" ref="C248:C254" si="70">C239</f>
        <v>6 h à 9 h 30</v>
      </c>
      <c r="D248" s="12">
        <v>0</v>
      </c>
      <c r="E248" s="12">
        <v>0</v>
      </c>
      <c r="F248" s="12">
        <v>0</v>
      </c>
      <c r="G248" s="12">
        <v>0</v>
      </c>
      <c r="H248" s="12">
        <v>0</v>
      </c>
      <c r="I248" s="12">
        <v>0</v>
      </c>
      <c r="J248" s="12">
        <v>0</v>
      </c>
      <c r="K248" s="12">
        <v>0</v>
      </c>
      <c r="L248" s="12">
        <v>0</v>
      </c>
      <c r="M248" s="12">
        <v>0</v>
      </c>
      <c r="N248" s="12">
        <v>0</v>
      </c>
      <c r="O248" s="12">
        <v>0</v>
      </c>
    </row>
    <row r="249" spans="2:16" ht="14" customHeight="1" thickTop="1" thickBot="1" x14ac:dyDescent="0.2">
      <c r="B249" s="18">
        <v>2</v>
      </c>
      <c r="C249" s="102" t="str">
        <f t="shared" si="70"/>
        <v>9 h 30 à 11 h 30</v>
      </c>
      <c r="D249" s="312">
        <v>10</v>
      </c>
      <c r="E249" s="14">
        <v>9</v>
      </c>
      <c r="F249" s="14">
        <v>10</v>
      </c>
      <c r="G249" s="14">
        <v>11</v>
      </c>
      <c r="H249" s="14">
        <v>12</v>
      </c>
      <c r="I249" s="14">
        <v>15</v>
      </c>
      <c r="J249" s="14">
        <v>20</v>
      </c>
      <c r="K249" s="14">
        <v>18</v>
      </c>
      <c r="L249" s="14">
        <v>12</v>
      </c>
      <c r="M249" s="14">
        <v>11</v>
      </c>
      <c r="N249" s="14">
        <v>10</v>
      </c>
      <c r="O249" s="14">
        <v>12</v>
      </c>
    </row>
    <row r="250" spans="2:16" ht="14" customHeight="1" thickTop="1" thickBot="1" x14ac:dyDescent="0.2">
      <c r="B250" s="18">
        <v>3</v>
      </c>
      <c r="C250" s="102" t="str">
        <f t="shared" si="70"/>
        <v>11 h 30 à 14 h 30</v>
      </c>
      <c r="D250" s="22">
        <v>10</v>
      </c>
      <c r="E250" s="14">
        <v>9</v>
      </c>
      <c r="F250" s="14">
        <v>10</v>
      </c>
      <c r="G250" s="14">
        <v>11</v>
      </c>
      <c r="H250" s="14">
        <v>12</v>
      </c>
      <c r="I250" s="14">
        <v>15</v>
      </c>
      <c r="J250" s="14">
        <v>20</v>
      </c>
      <c r="K250" s="14">
        <v>18</v>
      </c>
      <c r="L250" s="14">
        <v>12</v>
      </c>
      <c r="M250" s="14">
        <v>11</v>
      </c>
      <c r="N250" s="14">
        <v>10</v>
      </c>
      <c r="O250" s="14">
        <v>12</v>
      </c>
    </row>
    <row r="251" spans="2:16" ht="14" customHeight="1" thickTop="1" thickBot="1" x14ac:dyDescent="0.2">
      <c r="B251" s="18">
        <v>4</v>
      </c>
      <c r="C251" s="102" t="str">
        <f t="shared" si="70"/>
        <v>14 h 30 à 17 h</v>
      </c>
      <c r="D251" s="22">
        <v>10</v>
      </c>
      <c r="E251" s="14">
        <v>9</v>
      </c>
      <c r="F251" s="14">
        <v>10</v>
      </c>
      <c r="G251" s="14">
        <v>11</v>
      </c>
      <c r="H251" s="14">
        <v>12</v>
      </c>
      <c r="I251" s="14">
        <v>15</v>
      </c>
      <c r="J251" s="14">
        <v>20</v>
      </c>
      <c r="K251" s="14">
        <v>18</v>
      </c>
      <c r="L251" s="14">
        <v>12</v>
      </c>
      <c r="M251" s="14">
        <v>11</v>
      </c>
      <c r="N251" s="14">
        <v>10</v>
      </c>
      <c r="O251" s="14">
        <v>12</v>
      </c>
    </row>
    <row r="252" spans="2:16" ht="14" customHeight="1" thickTop="1" thickBot="1" x14ac:dyDescent="0.2">
      <c r="B252" s="18">
        <v>5</v>
      </c>
      <c r="C252" s="102" t="str">
        <f t="shared" si="70"/>
        <v>17 h à 19 h</v>
      </c>
      <c r="D252" s="22">
        <v>10</v>
      </c>
      <c r="E252" s="14">
        <v>9</v>
      </c>
      <c r="F252" s="14">
        <v>10</v>
      </c>
      <c r="G252" s="14">
        <v>11</v>
      </c>
      <c r="H252" s="14">
        <v>12</v>
      </c>
      <c r="I252" s="14">
        <v>15</v>
      </c>
      <c r="J252" s="14">
        <v>20</v>
      </c>
      <c r="K252" s="14">
        <v>18</v>
      </c>
      <c r="L252" s="14">
        <v>12</v>
      </c>
      <c r="M252" s="14">
        <v>11</v>
      </c>
      <c r="N252" s="14">
        <v>10</v>
      </c>
      <c r="O252" s="14">
        <v>12</v>
      </c>
    </row>
    <row r="253" spans="2:16" ht="14" customHeight="1" thickTop="1" thickBot="1" x14ac:dyDescent="0.2">
      <c r="B253" s="18">
        <v>6</v>
      </c>
      <c r="C253" s="102" t="str">
        <f t="shared" si="70"/>
        <v>19 h à 23 h</v>
      </c>
      <c r="D253" s="22">
        <v>10</v>
      </c>
      <c r="E253" s="14">
        <v>9</v>
      </c>
      <c r="F253" s="14">
        <v>10</v>
      </c>
      <c r="G253" s="14">
        <v>11</v>
      </c>
      <c r="H253" s="14">
        <v>12</v>
      </c>
      <c r="I253" s="14">
        <v>15</v>
      </c>
      <c r="J253" s="14">
        <v>20</v>
      </c>
      <c r="K253" s="14">
        <v>18</v>
      </c>
      <c r="L253" s="14">
        <v>12</v>
      </c>
      <c r="M253" s="14">
        <v>11</v>
      </c>
      <c r="N253" s="14">
        <v>10</v>
      </c>
      <c r="O253" s="14">
        <v>12</v>
      </c>
    </row>
    <row r="254" spans="2:16" ht="14" customHeight="1" thickTop="1" thickBot="1" x14ac:dyDescent="0.2">
      <c r="B254" s="18">
        <v>7</v>
      </c>
      <c r="C254" s="102" t="str">
        <f t="shared" si="70"/>
        <v>23 h à 6 h</v>
      </c>
      <c r="D254" s="14">
        <v>0</v>
      </c>
      <c r="E254" s="14">
        <v>0</v>
      </c>
      <c r="F254" s="14">
        <v>0</v>
      </c>
      <c r="G254" s="14">
        <v>0</v>
      </c>
      <c r="H254" s="14">
        <v>0</v>
      </c>
      <c r="I254" s="14">
        <v>0</v>
      </c>
      <c r="J254" s="14">
        <v>0</v>
      </c>
      <c r="K254" s="14">
        <v>0</v>
      </c>
      <c r="L254" s="14">
        <v>0</v>
      </c>
      <c r="M254" s="14">
        <v>0</v>
      </c>
      <c r="N254" s="14">
        <v>0</v>
      </c>
      <c r="O254" s="14">
        <v>0</v>
      </c>
    </row>
    <row r="255" spans="2:16" ht="14" customHeight="1" thickTop="1" thickBot="1" x14ac:dyDescent="0.2">
      <c r="B255" s="19"/>
      <c r="C255" s="298" t="str">
        <f t="shared" ref="C255" si="71">+C246</f>
        <v>Total</v>
      </c>
      <c r="D255" s="24">
        <f t="shared" ref="D255:L255" si="72">+D248+D249+D250+D251+D252+D253+D254</f>
        <v>50</v>
      </c>
      <c r="E255" s="24">
        <f t="shared" si="72"/>
        <v>45</v>
      </c>
      <c r="F255" s="24">
        <f t="shared" si="72"/>
        <v>50</v>
      </c>
      <c r="G255" s="24">
        <f t="shared" si="72"/>
        <v>55</v>
      </c>
      <c r="H255" s="24">
        <f t="shared" si="72"/>
        <v>60</v>
      </c>
      <c r="I255" s="24">
        <f t="shared" si="72"/>
        <v>75</v>
      </c>
      <c r="J255" s="24">
        <f t="shared" si="72"/>
        <v>100</v>
      </c>
      <c r="K255" s="24">
        <f t="shared" si="72"/>
        <v>90</v>
      </c>
      <c r="L255" s="24">
        <f t="shared" si="72"/>
        <v>60</v>
      </c>
      <c r="M255" s="24">
        <f>+M248+M249+M250+M251+M252+M253+M254</f>
        <v>55</v>
      </c>
      <c r="N255" s="24">
        <f>+N248+N249+N250+N251+N252+N253+N254</f>
        <v>50</v>
      </c>
      <c r="O255" s="24">
        <f>+O248+O249+O250+O251+O252+O253+O254</f>
        <v>60</v>
      </c>
    </row>
    <row r="256" spans="2:16" ht="14" customHeight="1" thickTop="1" thickBot="1" x14ac:dyDescent="0.2">
      <c r="B256" s="124" t="s">
        <v>2</v>
      </c>
      <c r="C256" s="125" t="str">
        <f>+'Calendrier 2021'!C36</f>
        <v>Dimanche</v>
      </c>
      <c r="D256" s="77">
        <f>+'Calendrier 2021'!D36</f>
        <v>44220</v>
      </c>
      <c r="E256" s="77" t="str">
        <f>+'Calendrier 2021'!E36</f>
        <v>28 fev 2021</v>
      </c>
      <c r="F256" s="77">
        <f>+'Calendrier 2021'!F36</f>
        <v>44283</v>
      </c>
      <c r="G256" s="77">
        <f>+'Calendrier 2021'!G36</f>
        <v>44311</v>
      </c>
      <c r="H256" s="77">
        <f>+'Calendrier 2021'!H36</f>
        <v>44339</v>
      </c>
      <c r="I256" s="77">
        <f>+'Calendrier 2021'!I36</f>
        <v>44374</v>
      </c>
      <c r="J256" s="77">
        <f>+'Calendrier 2021'!J36</f>
        <v>44402</v>
      </c>
      <c r="K256" s="77">
        <f>+'Calendrier 2021'!K36</f>
        <v>44430</v>
      </c>
      <c r="L256" s="77">
        <f>+'Calendrier 2021'!L36</f>
        <v>44465</v>
      </c>
      <c r="M256" s="77">
        <f>+'Calendrier 2021'!M36</f>
        <v>44493</v>
      </c>
      <c r="N256" s="77">
        <f>+'Calendrier 2021'!N36</f>
        <v>44528</v>
      </c>
      <c r="O256" s="78" t="str">
        <f>+'Calendrier 2021'!O36</f>
        <v>26 dec 2021</v>
      </c>
      <c r="P256" s="26"/>
    </row>
    <row r="257" spans="2:15" ht="14" customHeight="1" thickTop="1" thickBot="1" x14ac:dyDescent="0.2">
      <c r="B257" s="121">
        <v>1</v>
      </c>
      <c r="C257" s="100" t="str">
        <f t="shared" ref="C257:C263" si="73">C248</f>
        <v>6 h à 9 h 30</v>
      </c>
      <c r="D257" s="12">
        <v>0</v>
      </c>
      <c r="E257" s="12">
        <v>0</v>
      </c>
      <c r="F257" s="12">
        <v>0</v>
      </c>
      <c r="G257" s="12">
        <v>0</v>
      </c>
      <c r="H257" s="12">
        <v>0</v>
      </c>
      <c r="I257" s="12">
        <v>0</v>
      </c>
      <c r="J257" s="12">
        <v>0</v>
      </c>
      <c r="K257" s="12">
        <v>0</v>
      </c>
      <c r="L257" s="12">
        <v>0</v>
      </c>
      <c r="M257" s="12">
        <v>0</v>
      </c>
      <c r="N257" s="12">
        <v>0</v>
      </c>
      <c r="O257" s="12">
        <v>0</v>
      </c>
    </row>
    <row r="258" spans="2:15" ht="14" customHeight="1" thickTop="1" thickBot="1" x14ac:dyDescent="0.2">
      <c r="B258" s="18">
        <v>2</v>
      </c>
      <c r="C258" s="102" t="str">
        <f t="shared" si="73"/>
        <v>9 h 30 à 11 h 30</v>
      </c>
      <c r="D258" s="312">
        <v>10</v>
      </c>
      <c r="E258" s="14">
        <v>9</v>
      </c>
      <c r="F258" s="14">
        <v>10</v>
      </c>
      <c r="G258" s="14">
        <v>11</v>
      </c>
      <c r="H258" s="14">
        <v>12</v>
      </c>
      <c r="I258" s="14">
        <v>15</v>
      </c>
      <c r="J258" s="14">
        <v>20</v>
      </c>
      <c r="K258" s="14">
        <v>18</v>
      </c>
      <c r="L258" s="14">
        <v>12</v>
      </c>
      <c r="M258" s="14">
        <v>11</v>
      </c>
      <c r="N258" s="14">
        <v>10</v>
      </c>
      <c r="O258" s="14">
        <v>12</v>
      </c>
    </row>
    <row r="259" spans="2:15" ht="14" customHeight="1" thickTop="1" thickBot="1" x14ac:dyDescent="0.2">
      <c r="B259" s="18">
        <v>3</v>
      </c>
      <c r="C259" s="102" t="str">
        <f t="shared" si="73"/>
        <v>11 h 30 à 14 h 30</v>
      </c>
      <c r="D259" s="22">
        <v>10</v>
      </c>
      <c r="E259" s="14">
        <v>9</v>
      </c>
      <c r="F259" s="14">
        <v>10</v>
      </c>
      <c r="G259" s="14">
        <v>11</v>
      </c>
      <c r="H259" s="14">
        <v>12</v>
      </c>
      <c r="I259" s="14">
        <v>15</v>
      </c>
      <c r="J259" s="14">
        <v>20</v>
      </c>
      <c r="K259" s="14">
        <v>18</v>
      </c>
      <c r="L259" s="14">
        <v>12</v>
      </c>
      <c r="M259" s="14">
        <v>11</v>
      </c>
      <c r="N259" s="14">
        <v>10</v>
      </c>
      <c r="O259" s="14">
        <v>12</v>
      </c>
    </row>
    <row r="260" spans="2:15" ht="14" customHeight="1" thickTop="1" thickBot="1" x14ac:dyDescent="0.2">
      <c r="B260" s="18">
        <v>4</v>
      </c>
      <c r="C260" s="102" t="str">
        <f t="shared" si="73"/>
        <v>14 h 30 à 17 h</v>
      </c>
      <c r="D260" s="22">
        <v>10</v>
      </c>
      <c r="E260" s="14">
        <v>9</v>
      </c>
      <c r="F260" s="14">
        <v>10</v>
      </c>
      <c r="G260" s="14">
        <v>11</v>
      </c>
      <c r="H260" s="14">
        <v>12</v>
      </c>
      <c r="I260" s="14">
        <v>15</v>
      </c>
      <c r="J260" s="14">
        <v>20</v>
      </c>
      <c r="K260" s="14">
        <v>18</v>
      </c>
      <c r="L260" s="14">
        <v>12</v>
      </c>
      <c r="M260" s="14">
        <v>11</v>
      </c>
      <c r="N260" s="14">
        <v>10</v>
      </c>
      <c r="O260" s="14">
        <v>12</v>
      </c>
    </row>
    <row r="261" spans="2:15" ht="14" customHeight="1" thickTop="1" thickBot="1" x14ac:dyDescent="0.2">
      <c r="B261" s="18">
        <v>5</v>
      </c>
      <c r="C261" s="102" t="str">
        <f t="shared" si="73"/>
        <v>17 h à 19 h</v>
      </c>
      <c r="D261" s="22">
        <v>10</v>
      </c>
      <c r="E261" s="14">
        <v>9</v>
      </c>
      <c r="F261" s="14">
        <v>10</v>
      </c>
      <c r="G261" s="14">
        <v>11</v>
      </c>
      <c r="H261" s="14">
        <v>12</v>
      </c>
      <c r="I261" s="14">
        <v>15</v>
      </c>
      <c r="J261" s="14">
        <v>20</v>
      </c>
      <c r="K261" s="14">
        <v>18</v>
      </c>
      <c r="L261" s="14">
        <v>12</v>
      </c>
      <c r="M261" s="14">
        <v>11</v>
      </c>
      <c r="N261" s="14">
        <v>10</v>
      </c>
      <c r="O261" s="14">
        <v>12</v>
      </c>
    </row>
    <row r="262" spans="2:15" ht="14" customHeight="1" thickTop="1" thickBot="1" x14ac:dyDescent="0.2">
      <c r="B262" s="18">
        <v>6</v>
      </c>
      <c r="C262" s="102" t="str">
        <f t="shared" si="73"/>
        <v>19 h à 23 h</v>
      </c>
      <c r="D262" s="22">
        <v>10</v>
      </c>
      <c r="E262" s="14">
        <v>9</v>
      </c>
      <c r="F262" s="14">
        <v>10</v>
      </c>
      <c r="G262" s="14">
        <v>11</v>
      </c>
      <c r="H262" s="14">
        <v>12</v>
      </c>
      <c r="I262" s="14">
        <v>15</v>
      </c>
      <c r="J262" s="14">
        <v>20</v>
      </c>
      <c r="K262" s="14">
        <v>18</v>
      </c>
      <c r="L262" s="14">
        <v>12</v>
      </c>
      <c r="M262" s="14">
        <v>11</v>
      </c>
      <c r="N262" s="14">
        <v>10</v>
      </c>
      <c r="O262" s="14">
        <v>12</v>
      </c>
    </row>
    <row r="263" spans="2:15" ht="14" customHeight="1" thickTop="1" thickBot="1" x14ac:dyDescent="0.2">
      <c r="B263" s="18">
        <v>7</v>
      </c>
      <c r="C263" s="102" t="str">
        <f t="shared" si="73"/>
        <v>23 h à 6 h</v>
      </c>
      <c r="D263" s="14">
        <v>0</v>
      </c>
      <c r="E263" s="14">
        <v>0</v>
      </c>
      <c r="F263" s="14">
        <v>0</v>
      </c>
      <c r="G263" s="14">
        <v>0</v>
      </c>
      <c r="H263" s="14">
        <v>0</v>
      </c>
      <c r="I263" s="14">
        <v>0</v>
      </c>
      <c r="J263" s="14">
        <v>0</v>
      </c>
      <c r="K263" s="14">
        <v>0</v>
      </c>
      <c r="L263" s="14">
        <v>0</v>
      </c>
      <c r="M263" s="14">
        <v>0</v>
      </c>
      <c r="N263" s="14">
        <v>0</v>
      </c>
      <c r="O263" s="14">
        <v>0</v>
      </c>
    </row>
    <row r="264" spans="2:15" ht="14" customHeight="1" thickTop="1" thickBot="1" x14ac:dyDescent="0.2">
      <c r="B264" s="18"/>
      <c r="C264" s="16" t="str">
        <f t="shared" ref="C264" si="74">+C255</f>
        <v>Total</v>
      </c>
      <c r="D264" s="24">
        <f t="shared" ref="D264:L264" si="75">+D257+D258+D259+D260+D261+D262+D263</f>
        <v>50</v>
      </c>
      <c r="E264" s="24">
        <f t="shared" si="75"/>
        <v>45</v>
      </c>
      <c r="F264" s="24">
        <f t="shared" si="75"/>
        <v>50</v>
      </c>
      <c r="G264" s="24">
        <f t="shared" si="75"/>
        <v>55</v>
      </c>
      <c r="H264" s="24">
        <f t="shared" si="75"/>
        <v>60</v>
      </c>
      <c r="I264" s="24">
        <f t="shared" si="75"/>
        <v>75</v>
      </c>
      <c r="J264" s="24">
        <f t="shared" si="75"/>
        <v>100</v>
      </c>
      <c r="K264" s="24">
        <f t="shared" si="75"/>
        <v>90</v>
      </c>
      <c r="L264" s="24">
        <f t="shared" si="75"/>
        <v>60</v>
      </c>
      <c r="M264" s="24">
        <f>+M257+M258+M259+M260+M261+M262+M263</f>
        <v>55</v>
      </c>
      <c r="N264" s="24">
        <f>+N257+N258+N259+N260+N261+N262+N263</f>
        <v>50</v>
      </c>
      <c r="O264" s="24">
        <f>+O257+O258+O259+O260+O261+O262+O263</f>
        <v>60</v>
      </c>
    </row>
    <row r="265" spans="2:15" ht="14" customHeight="1" thickTop="1" thickBot="1" x14ac:dyDescent="0.2">
      <c r="B265" s="793" t="s">
        <v>20</v>
      </c>
      <c r="C265" s="794"/>
      <c r="D265" s="794"/>
      <c r="E265" s="794"/>
      <c r="F265" s="794"/>
      <c r="G265" s="794"/>
      <c r="H265" s="794"/>
      <c r="I265" s="794"/>
      <c r="J265" s="794"/>
      <c r="K265" s="794"/>
      <c r="L265" s="794"/>
      <c r="M265" s="794"/>
      <c r="N265" s="794"/>
      <c r="O265" s="795"/>
    </row>
    <row r="266" spans="2:15" ht="14" customHeight="1" thickTop="1" thickBot="1" x14ac:dyDescent="0.2">
      <c r="B266" s="128">
        <f>+'Calendrier 2021'!B37</f>
        <v>5</v>
      </c>
      <c r="C266" s="129" t="str">
        <f>+'Calendrier 2021'!C37</f>
        <v>Lundi</v>
      </c>
      <c r="D266" s="130">
        <f>+'Calendrier 2021'!D37</f>
        <v>44221</v>
      </c>
      <c r="E266" s="130">
        <f>+'Calendrier 2021'!E37</f>
        <v>0</v>
      </c>
      <c r="F266" s="130">
        <f>+'Calendrier 2021'!F37</f>
        <v>44284</v>
      </c>
      <c r="G266" s="130">
        <f>+'Calendrier 2021'!G37</f>
        <v>44312</v>
      </c>
      <c r="H266" s="130">
        <f>+'Calendrier 2021'!H37</f>
        <v>44340</v>
      </c>
      <c r="I266" s="130">
        <f>+'Calendrier 2021'!I37</f>
        <v>44375</v>
      </c>
      <c r="J266" s="130">
        <f>+'Calendrier 2021'!J37</f>
        <v>44403</v>
      </c>
      <c r="K266" s="130">
        <f>+'Calendrier 2021'!K37</f>
        <v>44431</v>
      </c>
      <c r="L266" s="130">
        <f>+'Calendrier 2021'!L37</f>
        <v>44466</v>
      </c>
      <c r="M266" s="130">
        <f>+'Calendrier 2021'!M37</f>
        <v>44494</v>
      </c>
      <c r="N266" s="130">
        <f>+'Calendrier 2021'!N37</f>
        <v>44529</v>
      </c>
      <c r="O266" s="131" t="str">
        <f>+'Calendrier 2021'!O37</f>
        <v>27 dec 2021</v>
      </c>
    </row>
    <row r="267" spans="2:15" ht="14" customHeight="1" thickTop="1" x14ac:dyDescent="0.15">
      <c r="B267" s="11">
        <v>1</v>
      </c>
      <c r="C267" s="100" t="str">
        <f t="shared" ref="C267:C273" si="76">C257</f>
        <v>6 h à 9 h 30</v>
      </c>
      <c r="D267" s="12">
        <v>0</v>
      </c>
      <c r="E267" s="12">
        <v>0</v>
      </c>
      <c r="F267" s="12">
        <v>0</v>
      </c>
      <c r="G267" s="12">
        <v>0</v>
      </c>
      <c r="H267" s="12">
        <v>0</v>
      </c>
      <c r="I267" s="12">
        <v>0</v>
      </c>
      <c r="J267" s="12">
        <v>0</v>
      </c>
      <c r="K267" s="12">
        <v>0</v>
      </c>
      <c r="L267" s="12">
        <v>0</v>
      </c>
      <c r="M267" s="12">
        <v>0</v>
      </c>
      <c r="N267" s="12">
        <v>0</v>
      </c>
      <c r="O267" s="12">
        <v>0</v>
      </c>
    </row>
    <row r="268" spans="2:15" ht="14" customHeight="1" x14ac:dyDescent="0.15">
      <c r="B268" s="13">
        <v>2</v>
      </c>
      <c r="C268" s="102" t="str">
        <f t="shared" si="76"/>
        <v>9 h 30 à 11 h 30</v>
      </c>
      <c r="D268" s="312">
        <v>10</v>
      </c>
      <c r="E268" s="14">
        <v>0</v>
      </c>
      <c r="F268" s="14">
        <v>10</v>
      </c>
      <c r="G268" s="14">
        <v>11</v>
      </c>
      <c r="H268" s="14">
        <v>12</v>
      </c>
      <c r="I268" s="14">
        <v>15</v>
      </c>
      <c r="J268" s="14">
        <v>20</v>
      </c>
      <c r="K268" s="14">
        <v>18</v>
      </c>
      <c r="L268" s="14">
        <v>12</v>
      </c>
      <c r="M268" s="14">
        <v>11</v>
      </c>
      <c r="N268" s="14">
        <v>10</v>
      </c>
      <c r="O268" s="14">
        <v>12</v>
      </c>
    </row>
    <row r="269" spans="2:15" ht="14" customHeight="1" x14ac:dyDescent="0.15">
      <c r="B269" s="13">
        <v>3</v>
      </c>
      <c r="C269" s="102" t="str">
        <f t="shared" si="76"/>
        <v>11 h 30 à 14 h 30</v>
      </c>
      <c r="D269" s="22">
        <v>10</v>
      </c>
      <c r="E269" s="14">
        <v>0</v>
      </c>
      <c r="F269" s="14">
        <v>10</v>
      </c>
      <c r="G269" s="14">
        <v>11</v>
      </c>
      <c r="H269" s="14">
        <v>12</v>
      </c>
      <c r="I269" s="14">
        <v>15</v>
      </c>
      <c r="J269" s="14">
        <v>20</v>
      </c>
      <c r="K269" s="14">
        <v>18</v>
      </c>
      <c r="L269" s="14">
        <v>12</v>
      </c>
      <c r="M269" s="14">
        <v>11</v>
      </c>
      <c r="N269" s="14">
        <v>10</v>
      </c>
      <c r="O269" s="14">
        <v>12</v>
      </c>
    </row>
    <row r="270" spans="2:15" ht="14" customHeight="1" x14ac:dyDescent="0.15">
      <c r="B270" s="13">
        <v>4</v>
      </c>
      <c r="C270" s="102" t="str">
        <f t="shared" si="76"/>
        <v>14 h 30 à 17 h</v>
      </c>
      <c r="D270" s="22">
        <v>10</v>
      </c>
      <c r="E270" s="14">
        <v>0</v>
      </c>
      <c r="F270" s="14">
        <v>10</v>
      </c>
      <c r="G270" s="14">
        <v>11</v>
      </c>
      <c r="H270" s="14">
        <v>12</v>
      </c>
      <c r="I270" s="14">
        <v>15</v>
      </c>
      <c r="J270" s="14">
        <v>20</v>
      </c>
      <c r="K270" s="14">
        <v>18</v>
      </c>
      <c r="L270" s="14">
        <v>12</v>
      </c>
      <c r="M270" s="14">
        <v>11</v>
      </c>
      <c r="N270" s="14">
        <v>10</v>
      </c>
      <c r="O270" s="14">
        <v>12</v>
      </c>
    </row>
    <row r="271" spans="2:15" ht="14" customHeight="1" x14ac:dyDescent="0.15">
      <c r="B271" s="13">
        <v>5</v>
      </c>
      <c r="C271" s="102" t="str">
        <f t="shared" si="76"/>
        <v>17 h à 19 h</v>
      </c>
      <c r="D271" s="22">
        <v>10</v>
      </c>
      <c r="E271" s="14">
        <v>0</v>
      </c>
      <c r="F271" s="14">
        <v>10</v>
      </c>
      <c r="G271" s="14">
        <v>11</v>
      </c>
      <c r="H271" s="14">
        <v>12</v>
      </c>
      <c r="I271" s="14">
        <v>15</v>
      </c>
      <c r="J271" s="14">
        <v>20</v>
      </c>
      <c r="K271" s="14">
        <v>18</v>
      </c>
      <c r="L271" s="14">
        <v>12</v>
      </c>
      <c r="M271" s="14">
        <v>11</v>
      </c>
      <c r="N271" s="14">
        <v>10</v>
      </c>
      <c r="O271" s="14">
        <v>12</v>
      </c>
    </row>
    <row r="272" spans="2:15" ht="14" customHeight="1" x14ac:dyDescent="0.15">
      <c r="B272" s="13">
        <v>6</v>
      </c>
      <c r="C272" s="102" t="str">
        <f t="shared" si="76"/>
        <v>19 h à 23 h</v>
      </c>
      <c r="D272" s="22">
        <v>10</v>
      </c>
      <c r="E272" s="14">
        <v>0</v>
      </c>
      <c r="F272" s="14">
        <v>10</v>
      </c>
      <c r="G272" s="14">
        <v>11</v>
      </c>
      <c r="H272" s="14">
        <v>12</v>
      </c>
      <c r="I272" s="14">
        <v>15</v>
      </c>
      <c r="J272" s="14">
        <v>20</v>
      </c>
      <c r="K272" s="14">
        <v>18</v>
      </c>
      <c r="L272" s="14">
        <v>12</v>
      </c>
      <c r="M272" s="14">
        <v>11</v>
      </c>
      <c r="N272" s="14">
        <v>10</v>
      </c>
      <c r="O272" s="14">
        <v>12</v>
      </c>
    </row>
    <row r="273" spans="2:17" ht="14" customHeight="1" x14ac:dyDescent="0.15">
      <c r="B273" s="13">
        <v>7</v>
      </c>
      <c r="C273" s="102" t="str">
        <f t="shared" si="76"/>
        <v>23 h à 6 h</v>
      </c>
      <c r="D273" s="14">
        <v>0</v>
      </c>
      <c r="E273" s="14">
        <v>0</v>
      </c>
      <c r="F273" s="14">
        <v>0</v>
      </c>
      <c r="G273" s="14">
        <v>0</v>
      </c>
      <c r="H273" s="14">
        <v>0</v>
      </c>
      <c r="I273" s="14">
        <v>0</v>
      </c>
      <c r="J273" s="14">
        <v>0</v>
      </c>
      <c r="K273" s="14">
        <v>0</v>
      </c>
      <c r="L273" s="14">
        <v>0</v>
      </c>
      <c r="M273" s="14">
        <v>0</v>
      </c>
      <c r="N273" s="14">
        <v>0</v>
      </c>
      <c r="O273" s="14">
        <v>0</v>
      </c>
    </row>
    <row r="274" spans="2:17" ht="14" customHeight="1" thickBot="1" x14ac:dyDescent="0.2">
      <c r="B274" s="15"/>
      <c r="C274" s="16" t="str">
        <f>+C264</f>
        <v>Total</v>
      </c>
      <c r="D274" s="24">
        <f t="shared" ref="D274:L274" si="77">+D267+D268+D269+D270+D271+D272+D273</f>
        <v>50</v>
      </c>
      <c r="E274" s="24">
        <f t="shared" si="77"/>
        <v>0</v>
      </c>
      <c r="F274" s="24">
        <f t="shared" si="77"/>
        <v>50</v>
      </c>
      <c r="G274" s="24">
        <f t="shared" si="77"/>
        <v>55</v>
      </c>
      <c r="H274" s="24">
        <f t="shared" si="77"/>
        <v>60</v>
      </c>
      <c r="I274" s="24">
        <f t="shared" si="77"/>
        <v>75</v>
      </c>
      <c r="J274" s="24">
        <f t="shared" si="77"/>
        <v>100</v>
      </c>
      <c r="K274" s="24">
        <f t="shared" si="77"/>
        <v>90</v>
      </c>
      <c r="L274" s="24">
        <f t="shared" si="77"/>
        <v>60</v>
      </c>
      <c r="M274" s="24">
        <f>+M267+M268+M269+M270+M271+M272+M273</f>
        <v>55</v>
      </c>
      <c r="N274" s="24">
        <f>+N267+N268+N269+N270+N271+N272+N273</f>
        <v>50</v>
      </c>
      <c r="O274" s="24">
        <f>+O267+O268+O269+O270+O271+O272+O273</f>
        <v>60</v>
      </c>
    </row>
    <row r="275" spans="2:17" ht="14" customHeight="1" thickTop="1" thickBot="1" x14ac:dyDescent="0.2">
      <c r="B275" s="124" t="s">
        <v>2</v>
      </c>
      <c r="C275" s="125" t="str">
        <f>+'Calendrier 2021'!C38</f>
        <v>Mardi</v>
      </c>
      <c r="D275" s="77">
        <f>+'Calendrier 2021'!D38</f>
        <v>44222</v>
      </c>
      <c r="E275" s="77" t="s">
        <v>2</v>
      </c>
      <c r="F275" s="77">
        <f>+'Calendrier 2021'!F38</f>
        <v>44285</v>
      </c>
      <c r="G275" s="77">
        <f>+'Calendrier 2021'!G38</f>
        <v>44313</v>
      </c>
      <c r="H275" s="77">
        <f>+'Calendrier 2021'!H38</f>
        <v>44341</v>
      </c>
      <c r="I275" s="77">
        <f>+'Calendrier 2021'!I38</f>
        <v>44376</v>
      </c>
      <c r="J275" s="77">
        <f>+'Calendrier 2021'!J38</f>
        <v>44404</v>
      </c>
      <c r="K275" s="77">
        <f>+'Calendrier 2021'!K38</f>
        <v>44432</v>
      </c>
      <c r="L275" s="77">
        <f>+'Calendrier 2021'!L38</f>
        <v>44467</v>
      </c>
      <c r="M275" s="77">
        <f>+'Calendrier 2021'!M38</f>
        <v>44495</v>
      </c>
      <c r="N275" s="77">
        <f>+'Calendrier 2021'!N38</f>
        <v>44530</v>
      </c>
      <c r="O275" s="78" t="str">
        <f>+'Calendrier 2021'!O38</f>
        <v>28 dec 2021</v>
      </c>
    </row>
    <row r="276" spans="2:17" ht="14" customHeight="1" thickTop="1" thickBot="1" x14ac:dyDescent="0.2">
      <c r="B276" s="18">
        <v>1</v>
      </c>
      <c r="C276" s="100" t="str">
        <f t="shared" ref="C276:C282" si="78">C267</f>
        <v>6 h à 9 h 30</v>
      </c>
      <c r="D276" s="12">
        <v>0</v>
      </c>
      <c r="E276" s="60">
        <v>0</v>
      </c>
      <c r="F276" s="12">
        <v>0</v>
      </c>
      <c r="G276" s="12">
        <v>0</v>
      </c>
      <c r="H276" s="12">
        <v>0</v>
      </c>
      <c r="I276" s="12">
        <v>0</v>
      </c>
      <c r="J276" s="12">
        <v>0</v>
      </c>
      <c r="K276" s="12">
        <v>0</v>
      </c>
      <c r="L276" s="12">
        <v>0</v>
      </c>
      <c r="M276" s="12">
        <v>0</v>
      </c>
      <c r="N276" s="12">
        <v>0</v>
      </c>
      <c r="O276" s="12">
        <v>0</v>
      </c>
    </row>
    <row r="277" spans="2:17" ht="14" customHeight="1" thickTop="1" thickBot="1" x14ac:dyDescent="0.2">
      <c r="B277" s="121">
        <v>2</v>
      </c>
      <c r="C277" s="102" t="str">
        <f t="shared" si="78"/>
        <v>9 h 30 à 11 h 30</v>
      </c>
      <c r="D277" s="312">
        <v>10</v>
      </c>
      <c r="E277" s="61">
        <v>0</v>
      </c>
      <c r="F277" s="14">
        <v>10</v>
      </c>
      <c r="G277" s="14">
        <v>11</v>
      </c>
      <c r="H277" s="14">
        <v>12</v>
      </c>
      <c r="I277" s="14">
        <v>15</v>
      </c>
      <c r="J277" s="14">
        <v>20</v>
      </c>
      <c r="K277" s="14">
        <v>18</v>
      </c>
      <c r="L277" s="14">
        <v>12</v>
      </c>
      <c r="M277" s="14">
        <v>11</v>
      </c>
      <c r="N277" s="14">
        <v>10</v>
      </c>
      <c r="O277" s="14">
        <v>12</v>
      </c>
    </row>
    <row r="278" spans="2:17" ht="14" customHeight="1" thickTop="1" thickBot="1" x14ac:dyDescent="0.2">
      <c r="B278" s="121">
        <v>3</v>
      </c>
      <c r="C278" s="102" t="str">
        <f t="shared" si="78"/>
        <v>11 h 30 à 14 h 30</v>
      </c>
      <c r="D278" s="22">
        <v>10</v>
      </c>
      <c r="E278" s="61">
        <v>0</v>
      </c>
      <c r="F278" s="14">
        <v>10</v>
      </c>
      <c r="G278" s="14">
        <v>11</v>
      </c>
      <c r="H278" s="14">
        <v>12</v>
      </c>
      <c r="I278" s="14">
        <v>15</v>
      </c>
      <c r="J278" s="14">
        <v>20</v>
      </c>
      <c r="K278" s="14">
        <v>18</v>
      </c>
      <c r="L278" s="14">
        <v>12</v>
      </c>
      <c r="M278" s="14">
        <v>11</v>
      </c>
      <c r="N278" s="14">
        <v>10</v>
      </c>
      <c r="O278" s="14">
        <v>12</v>
      </c>
    </row>
    <row r="279" spans="2:17" ht="14" customHeight="1" thickTop="1" thickBot="1" x14ac:dyDescent="0.2">
      <c r="B279" s="121">
        <v>4</v>
      </c>
      <c r="C279" s="102" t="str">
        <f t="shared" si="78"/>
        <v>14 h 30 à 17 h</v>
      </c>
      <c r="D279" s="22">
        <v>10</v>
      </c>
      <c r="E279" s="61">
        <v>0</v>
      </c>
      <c r="F279" s="14">
        <v>10</v>
      </c>
      <c r="G279" s="14">
        <v>11</v>
      </c>
      <c r="H279" s="14">
        <v>12</v>
      </c>
      <c r="I279" s="14">
        <v>15</v>
      </c>
      <c r="J279" s="14">
        <v>20</v>
      </c>
      <c r="K279" s="14">
        <v>18</v>
      </c>
      <c r="L279" s="14">
        <v>12</v>
      </c>
      <c r="M279" s="14">
        <v>11</v>
      </c>
      <c r="N279" s="14">
        <v>10</v>
      </c>
      <c r="O279" s="14">
        <v>12</v>
      </c>
    </row>
    <row r="280" spans="2:17" ht="14" customHeight="1" thickTop="1" thickBot="1" x14ac:dyDescent="0.2">
      <c r="B280" s="121">
        <v>5</v>
      </c>
      <c r="C280" s="102" t="str">
        <f t="shared" si="78"/>
        <v>17 h à 19 h</v>
      </c>
      <c r="D280" s="22">
        <v>10</v>
      </c>
      <c r="E280" s="61">
        <v>0</v>
      </c>
      <c r="F280" s="14">
        <v>10</v>
      </c>
      <c r="G280" s="14">
        <v>11</v>
      </c>
      <c r="H280" s="14">
        <v>12</v>
      </c>
      <c r="I280" s="14">
        <v>15</v>
      </c>
      <c r="J280" s="14">
        <v>20</v>
      </c>
      <c r="K280" s="14">
        <v>18</v>
      </c>
      <c r="L280" s="14">
        <v>12</v>
      </c>
      <c r="M280" s="14">
        <v>11</v>
      </c>
      <c r="N280" s="14">
        <v>10</v>
      </c>
      <c r="O280" s="14">
        <v>12</v>
      </c>
    </row>
    <row r="281" spans="2:17" ht="14" customHeight="1" thickTop="1" thickBot="1" x14ac:dyDescent="0.2">
      <c r="B281" s="121">
        <v>6</v>
      </c>
      <c r="C281" s="102" t="str">
        <f t="shared" si="78"/>
        <v>19 h à 23 h</v>
      </c>
      <c r="D281" s="22">
        <v>10</v>
      </c>
      <c r="E281" s="61">
        <v>0</v>
      </c>
      <c r="F281" s="14">
        <v>10</v>
      </c>
      <c r="G281" s="14">
        <v>11</v>
      </c>
      <c r="H281" s="14">
        <v>12</v>
      </c>
      <c r="I281" s="14">
        <v>15</v>
      </c>
      <c r="J281" s="14">
        <v>20</v>
      </c>
      <c r="K281" s="14">
        <v>18</v>
      </c>
      <c r="L281" s="14">
        <v>12</v>
      </c>
      <c r="M281" s="14">
        <v>11</v>
      </c>
      <c r="N281" s="14">
        <v>10</v>
      </c>
      <c r="O281" s="14">
        <v>12</v>
      </c>
    </row>
    <row r="282" spans="2:17" ht="14" customHeight="1" thickTop="1" thickBot="1" x14ac:dyDescent="0.2">
      <c r="B282" s="121">
        <v>7</v>
      </c>
      <c r="C282" s="102" t="str">
        <f t="shared" si="78"/>
        <v>23 h à 6 h</v>
      </c>
      <c r="D282" s="14">
        <v>0</v>
      </c>
      <c r="E282" s="61">
        <v>0</v>
      </c>
      <c r="F282" s="14">
        <v>0</v>
      </c>
      <c r="G282" s="14">
        <v>0</v>
      </c>
      <c r="H282" s="14">
        <v>0</v>
      </c>
      <c r="I282" s="14">
        <v>0</v>
      </c>
      <c r="J282" s="14">
        <v>0</v>
      </c>
      <c r="K282" s="14">
        <v>0</v>
      </c>
      <c r="L282" s="14">
        <v>0</v>
      </c>
      <c r="M282" s="14">
        <v>0</v>
      </c>
      <c r="N282" s="14">
        <v>0</v>
      </c>
      <c r="O282" s="14">
        <v>0</v>
      </c>
      <c r="P282" s="27" t="s">
        <v>2</v>
      </c>
      <c r="Q282" s="28"/>
    </row>
    <row r="283" spans="2:17" ht="14" customHeight="1" thickTop="1" thickBot="1" x14ac:dyDescent="0.2">
      <c r="B283" s="19"/>
      <c r="C283" s="21" t="str">
        <f t="shared" ref="C283" si="79">+C274</f>
        <v>Total</v>
      </c>
      <c r="D283" s="24">
        <f t="shared" ref="D283:L283" si="80">+D276+D277+D278+D279+D280+D281+D282</f>
        <v>50</v>
      </c>
      <c r="E283" s="59">
        <f t="shared" si="80"/>
        <v>0</v>
      </c>
      <c r="F283" s="24">
        <f t="shared" si="80"/>
        <v>50</v>
      </c>
      <c r="G283" s="24">
        <f t="shared" si="80"/>
        <v>55</v>
      </c>
      <c r="H283" s="24">
        <f t="shared" si="80"/>
        <v>60</v>
      </c>
      <c r="I283" s="24">
        <f t="shared" si="80"/>
        <v>75</v>
      </c>
      <c r="J283" s="24">
        <f t="shared" si="80"/>
        <v>100</v>
      </c>
      <c r="K283" s="24">
        <f t="shared" si="80"/>
        <v>90</v>
      </c>
      <c r="L283" s="24">
        <f t="shared" si="80"/>
        <v>60</v>
      </c>
      <c r="M283" s="24">
        <f>+M276+M277+M278+M279+M280+M281+M282</f>
        <v>55</v>
      </c>
      <c r="N283" s="24">
        <f>+N276+N277+N278+N279+N280+N281+N282</f>
        <v>50</v>
      </c>
      <c r="O283" s="24">
        <f>+O276+O277+O278+O279+O280+O281+O282</f>
        <v>60</v>
      </c>
    </row>
    <row r="284" spans="2:17" ht="14" customHeight="1" thickTop="1" thickBot="1" x14ac:dyDescent="0.2">
      <c r="B284" s="124" t="s">
        <v>2</v>
      </c>
      <c r="C284" s="125" t="str">
        <f>+'Calendrier 2021'!C39</f>
        <v>Mercredi</v>
      </c>
      <c r="D284" s="77">
        <f>+'Calendrier 2021'!D39</f>
        <v>44223</v>
      </c>
      <c r="E284" s="77" t="s">
        <v>2</v>
      </c>
      <c r="F284" s="77">
        <f>+'Calendrier 2021'!F39</f>
        <v>44286</v>
      </c>
      <c r="G284" s="77">
        <f>+'Calendrier 2021'!G39</f>
        <v>44314</v>
      </c>
      <c r="H284" s="77">
        <f>+'Calendrier 2021'!H39</f>
        <v>44342</v>
      </c>
      <c r="I284" s="77">
        <f>+'Calendrier 2021'!I39</f>
        <v>44377</v>
      </c>
      <c r="J284" s="77">
        <f>+'Calendrier 2021'!J39</f>
        <v>44405</v>
      </c>
      <c r="K284" s="77">
        <f>+'Calendrier 2021'!K39</f>
        <v>44433</v>
      </c>
      <c r="L284" s="77">
        <f>+'Calendrier 2021'!L39</f>
        <v>44468</v>
      </c>
      <c r="M284" s="77">
        <f>+'Calendrier 2021'!M39</f>
        <v>44496</v>
      </c>
      <c r="N284" s="77" t="s">
        <v>2</v>
      </c>
      <c r="O284" s="78" t="str">
        <f>+'Calendrier 2021'!O39</f>
        <v>29 dec 2021</v>
      </c>
    </row>
    <row r="285" spans="2:17" ht="14" customHeight="1" thickTop="1" thickBot="1" x14ac:dyDescent="0.2">
      <c r="B285" s="18">
        <v>1</v>
      </c>
      <c r="C285" s="100" t="str">
        <f t="shared" ref="C285:C291" si="81">C276</f>
        <v>6 h à 9 h 30</v>
      </c>
      <c r="D285" s="12">
        <v>0</v>
      </c>
      <c r="E285" s="12">
        <v>0</v>
      </c>
      <c r="F285" s="12">
        <v>0</v>
      </c>
      <c r="G285" s="12">
        <v>0</v>
      </c>
      <c r="H285" s="60">
        <v>0</v>
      </c>
      <c r="I285" s="12">
        <v>0</v>
      </c>
      <c r="J285" s="12">
        <v>0</v>
      </c>
      <c r="K285" s="12">
        <v>0</v>
      </c>
      <c r="L285" s="12">
        <v>0</v>
      </c>
      <c r="M285" s="12">
        <v>0</v>
      </c>
      <c r="N285" s="12">
        <v>0</v>
      </c>
      <c r="O285" s="12">
        <v>0</v>
      </c>
    </row>
    <row r="286" spans="2:17" ht="14" customHeight="1" thickTop="1" thickBot="1" x14ac:dyDescent="0.2">
      <c r="B286" s="121">
        <v>2</v>
      </c>
      <c r="C286" s="102" t="str">
        <f t="shared" si="81"/>
        <v>9 h 30 à 11 h 30</v>
      </c>
      <c r="D286" s="312">
        <v>10</v>
      </c>
      <c r="E286" s="14">
        <v>0</v>
      </c>
      <c r="F286" s="14">
        <v>10</v>
      </c>
      <c r="G286" s="14">
        <v>11</v>
      </c>
      <c r="H286" s="61">
        <v>12</v>
      </c>
      <c r="I286" s="14">
        <v>15</v>
      </c>
      <c r="J286" s="14">
        <v>20</v>
      </c>
      <c r="K286" s="14">
        <v>18</v>
      </c>
      <c r="L286" s="14">
        <v>12</v>
      </c>
      <c r="M286" s="14">
        <v>11</v>
      </c>
      <c r="N286" s="14">
        <v>0</v>
      </c>
      <c r="O286" s="14">
        <v>12</v>
      </c>
    </row>
    <row r="287" spans="2:17" ht="14" customHeight="1" thickTop="1" thickBot="1" x14ac:dyDescent="0.2">
      <c r="B287" s="121">
        <v>3</v>
      </c>
      <c r="C287" s="102" t="str">
        <f t="shared" si="81"/>
        <v>11 h 30 à 14 h 30</v>
      </c>
      <c r="D287" s="22">
        <v>10</v>
      </c>
      <c r="E287" s="14">
        <v>0</v>
      </c>
      <c r="F287" s="14">
        <v>10</v>
      </c>
      <c r="G287" s="14">
        <v>11</v>
      </c>
      <c r="H287" s="61">
        <v>12</v>
      </c>
      <c r="I287" s="14">
        <v>15</v>
      </c>
      <c r="J287" s="14">
        <v>20</v>
      </c>
      <c r="K287" s="14">
        <v>18</v>
      </c>
      <c r="L287" s="14">
        <v>12</v>
      </c>
      <c r="M287" s="14">
        <v>11</v>
      </c>
      <c r="N287" s="14">
        <v>0</v>
      </c>
      <c r="O287" s="14">
        <v>12</v>
      </c>
    </row>
    <row r="288" spans="2:17" ht="14" customHeight="1" thickTop="1" thickBot="1" x14ac:dyDescent="0.2">
      <c r="B288" s="121">
        <v>4</v>
      </c>
      <c r="C288" s="102" t="str">
        <f t="shared" si="81"/>
        <v>14 h 30 à 17 h</v>
      </c>
      <c r="D288" s="22">
        <v>10</v>
      </c>
      <c r="E288" s="14">
        <v>0</v>
      </c>
      <c r="F288" s="14">
        <v>10</v>
      </c>
      <c r="G288" s="14">
        <v>11</v>
      </c>
      <c r="H288" s="61">
        <v>12</v>
      </c>
      <c r="I288" s="14">
        <v>15</v>
      </c>
      <c r="J288" s="14">
        <v>20</v>
      </c>
      <c r="K288" s="14">
        <v>18</v>
      </c>
      <c r="L288" s="14">
        <v>12</v>
      </c>
      <c r="M288" s="14">
        <v>11</v>
      </c>
      <c r="N288" s="14">
        <v>0</v>
      </c>
      <c r="O288" s="14">
        <v>12</v>
      </c>
    </row>
    <row r="289" spans="2:17" ht="14" customHeight="1" thickTop="1" thickBot="1" x14ac:dyDescent="0.2">
      <c r="B289" s="121">
        <v>5</v>
      </c>
      <c r="C289" s="102" t="str">
        <f t="shared" si="81"/>
        <v>17 h à 19 h</v>
      </c>
      <c r="D289" s="22">
        <v>10</v>
      </c>
      <c r="E289" s="14">
        <v>0</v>
      </c>
      <c r="F289" s="14">
        <v>10</v>
      </c>
      <c r="G289" s="14">
        <v>11</v>
      </c>
      <c r="H289" s="61">
        <v>12</v>
      </c>
      <c r="I289" s="14">
        <v>15</v>
      </c>
      <c r="J289" s="14">
        <v>20</v>
      </c>
      <c r="K289" s="14">
        <v>18</v>
      </c>
      <c r="L289" s="14">
        <v>12</v>
      </c>
      <c r="M289" s="14">
        <v>11</v>
      </c>
      <c r="N289" s="14">
        <v>0</v>
      </c>
      <c r="O289" s="14">
        <v>12</v>
      </c>
    </row>
    <row r="290" spans="2:17" ht="14" customHeight="1" thickTop="1" thickBot="1" x14ac:dyDescent="0.2">
      <c r="B290" s="121">
        <v>6</v>
      </c>
      <c r="C290" s="102" t="str">
        <f t="shared" si="81"/>
        <v>19 h à 23 h</v>
      </c>
      <c r="D290" s="22">
        <v>10</v>
      </c>
      <c r="E290" s="14">
        <v>0</v>
      </c>
      <c r="F290" s="14">
        <v>10</v>
      </c>
      <c r="G290" s="14">
        <v>11</v>
      </c>
      <c r="H290" s="61">
        <v>12</v>
      </c>
      <c r="I290" s="14">
        <v>15</v>
      </c>
      <c r="J290" s="14">
        <v>20</v>
      </c>
      <c r="K290" s="14">
        <v>18</v>
      </c>
      <c r="L290" s="14">
        <v>12</v>
      </c>
      <c r="M290" s="14">
        <v>11</v>
      </c>
      <c r="N290" s="14">
        <v>0</v>
      </c>
      <c r="O290" s="14">
        <v>12</v>
      </c>
    </row>
    <row r="291" spans="2:17" ht="14" customHeight="1" thickTop="1" thickBot="1" x14ac:dyDescent="0.2">
      <c r="B291" s="121">
        <v>7</v>
      </c>
      <c r="C291" s="102" t="str">
        <f t="shared" si="81"/>
        <v>23 h à 6 h</v>
      </c>
      <c r="D291" s="14">
        <v>0</v>
      </c>
      <c r="E291" s="14">
        <v>0</v>
      </c>
      <c r="F291" s="14">
        <v>0</v>
      </c>
      <c r="G291" s="14">
        <v>0</v>
      </c>
      <c r="H291" s="61">
        <v>0</v>
      </c>
      <c r="I291" s="14">
        <v>0</v>
      </c>
      <c r="J291" s="14">
        <v>0</v>
      </c>
      <c r="K291" s="14">
        <v>0</v>
      </c>
      <c r="L291" s="14">
        <v>0</v>
      </c>
      <c r="M291" s="14">
        <v>0</v>
      </c>
      <c r="N291" s="14">
        <v>0</v>
      </c>
      <c r="O291" s="14">
        <v>0</v>
      </c>
    </row>
    <row r="292" spans="2:17" ht="14" customHeight="1" thickTop="1" thickBot="1" x14ac:dyDescent="0.2">
      <c r="B292" s="19"/>
      <c r="C292" s="21" t="str">
        <f t="shared" ref="C292" si="82">+C274</f>
        <v>Total</v>
      </c>
      <c r="D292" s="24">
        <f t="shared" ref="D292:L292" si="83">+D285+D286+D287+D288+D289+D290+D291</f>
        <v>50</v>
      </c>
      <c r="E292" s="24">
        <f t="shared" si="83"/>
        <v>0</v>
      </c>
      <c r="F292" s="24">
        <f t="shared" si="83"/>
        <v>50</v>
      </c>
      <c r="G292" s="24">
        <f t="shared" si="83"/>
        <v>55</v>
      </c>
      <c r="H292" s="24">
        <f t="shared" si="83"/>
        <v>60</v>
      </c>
      <c r="I292" s="24">
        <f t="shared" si="83"/>
        <v>75</v>
      </c>
      <c r="J292" s="24">
        <f t="shared" si="83"/>
        <v>100</v>
      </c>
      <c r="K292" s="24">
        <f t="shared" si="83"/>
        <v>90</v>
      </c>
      <c r="L292" s="24">
        <f t="shared" si="83"/>
        <v>60</v>
      </c>
      <c r="M292" s="24">
        <f>+M285+M286+M287+M288+M289+M290+M291</f>
        <v>55</v>
      </c>
      <c r="N292" s="24">
        <f>+N285+N286+N287+N288+N289+N290+N291</f>
        <v>0</v>
      </c>
      <c r="O292" s="24">
        <f>+O285+O286+O287+O288+O289+O290+O291</f>
        <v>60</v>
      </c>
    </row>
    <row r="293" spans="2:17" ht="14" customHeight="1" thickTop="1" thickBot="1" x14ac:dyDescent="0.2">
      <c r="B293" s="124" t="s">
        <v>2</v>
      </c>
      <c r="C293" s="125" t="str">
        <f>+'Calendrier 2021'!C40</f>
        <v>Jeudi</v>
      </c>
      <c r="D293" s="77">
        <f>+'Calendrier 2021'!D40</f>
        <v>44224</v>
      </c>
      <c r="E293" s="77" t="s">
        <v>2</v>
      </c>
      <c r="F293" s="77" t="s">
        <v>2</v>
      </c>
      <c r="G293" s="77">
        <f>+'Calendrier 2021'!G40</f>
        <v>44315</v>
      </c>
      <c r="H293" s="77">
        <f>'Calendrier 2021'!H40</f>
        <v>44343</v>
      </c>
      <c r="I293" s="77" t="s">
        <v>126</v>
      </c>
      <c r="J293" s="77">
        <f>+'Calendrier 2021'!J40</f>
        <v>44406</v>
      </c>
      <c r="K293" s="77">
        <f>+'Calendrier 2021'!K40</f>
        <v>44434</v>
      </c>
      <c r="L293" s="77">
        <f>+'Calendrier 2021'!L40</f>
        <v>44469</v>
      </c>
      <c r="M293" s="77">
        <f>+'Calendrier 2021'!M40</f>
        <v>44497</v>
      </c>
      <c r="N293" s="77" t="s">
        <v>2</v>
      </c>
      <c r="O293" s="78" t="str">
        <f>+'Calendrier 2021'!O40</f>
        <v>30 dec 2021</v>
      </c>
    </row>
    <row r="294" spans="2:17" ht="14" customHeight="1" thickTop="1" thickBot="1" x14ac:dyDescent="0.2">
      <c r="B294" s="18">
        <v>1</v>
      </c>
      <c r="C294" s="100" t="str">
        <f t="shared" ref="C294:C300" si="84">C285</f>
        <v>6 h à 9 h 30</v>
      </c>
      <c r="D294" s="12">
        <v>0</v>
      </c>
      <c r="E294" s="12">
        <v>0</v>
      </c>
      <c r="F294" s="12">
        <v>0</v>
      </c>
      <c r="G294" s="12">
        <v>0</v>
      </c>
      <c r="H294" s="12">
        <v>0</v>
      </c>
      <c r="I294" s="12">
        <v>0</v>
      </c>
      <c r="J294" s="12">
        <v>0</v>
      </c>
      <c r="K294" s="12">
        <v>0</v>
      </c>
      <c r="L294" s="12">
        <v>0</v>
      </c>
      <c r="M294" s="12">
        <v>0</v>
      </c>
      <c r="N294" s="12">
        <v>0</v>
      </c>
      <c r="O294" s="12">
        <v>0</v>
      </c>
    </row>
    <row r="295" spans="2:17" ht="14" customHeight="1" thickTop="1" thickBot="1" x14ac:dyDescent="0.2">
      <c r="B295" s="121">
        <v>2</v>
      </c>
      <c r="C295" s="102" t="str">
        <f t="shared" si="84"/>
        <v>9 h 30 à 11 h 30</v>
      </c>
      <c r="D295" s="312">
        <v>10</v>
      </c>
      <c r="E295" s="14">
        <v>0</v>
      </c>
      <c r="F295" s="14">
        <v>0</v>
      </c>
      <c r="G295" s="14">
        <v>11</v>
      </c>
      <c r="H295" s="14">
        <v>12</v>
      </c>
      <c r="I295" s="14">
        <v>0</v>
      </c>
      <c r="J295" s="14">
        <v>20</v>
      </c>
      <c r="K295" s="14">
        <v>18</v>
      </c>
      <c r="L295" s="14">
        <v>12</v>
      </c>
      <c r="M295" s="14">
        <v>11</v>
      </c>
      <c r="N295" s="14">
        <v>0</v>
      </c>
      <c r="O295" s="14">
        <v>12</v>
      </c>
    </row>
    <row r="296" spans="2:17" ht="14" customHeight="1" thickTop="1" thickBot="1" x14ac:dyDescent="0.2">
      <c r="B296" s="121">
        <v>3</v>
      </c>
      <c r="C296" s="102" t="str">
        <f t="shared" si="84"/>
        <v>11 h 30 à 14 h 30</v>
      </c>
      <c r="D296" s="22">
        <v>10</v>
      </c>
      <c r="E296" s="14">
        <v>0</v>
      </c>
      <c r="F296" s="14">
        <v>0</v>
      </c>
      <c r="G296" s="14">
        <v>11</v>
      </c>
      <c r="H296" s="14">
        <v>12</v>
      </c>
      <c r="I296" s="14">
        <v>0</v>
      </c>
      <c r="J296" s="14">
        <v>20</v>
      </c>
      <c r="K296" s="14">
        <v>18</v>
      </c>
      <c r="L296" s="14">
        <v>12</v>
      </c>
      <c r="M296" s="14">
        <v>11</v>
      </c>
      <c r="N296" s="14">
        <v>0</v>
      </c>
      <c r="O296" s="14">
        <v>12</v>
      </c>
    </row>
    <row r="297" spans="2:17" ht="14" customHeight="1" thickTop="1" thickBot="1" x14ac:dyDescent="0.2">
      <c r="B297" s="121">
        <v>4</v>
      </c>
      <c r="C297" s="102" t="str">
        <f t="shared" si="84"/>
        <v>14 h 30 à 17 h</v>
      </c>
      <c r="D297" s="22">
        <v>10</v>
      </c>
      <c r="E297" s="14">
        <v>0</v>
      </c>
      <c r="F297" s="14">
        <v>0</v>
      </c>
      <c r="G297" s="14">
        <v>11</v>
      </c>
      <c r="H297" s="14">
        <v>12</v>
      </c>
      <c r="I297" s="14">
        <v>0</v>
      </c>
      <c r="J297" s="14">
        <v>20</v>
      </c>
      <c r="K297" s="14">
        <v>18</v>
      </c>
      <c r="L297" s="14">
        <v>12</v>
      </c>
      <c r="M297" s="14">
        <v>11</v>
      </c>
      <c r="N297" s="14">
        <v>0</v>
      </c>
      <c r="O297" s="14">
        <v>12</v>
      </c>
    </row>
    <row r="298" spans="2:17" ht="14" customHeight="1" thickTop="1" thickBot="1" x14ac:dyDescent="0.2">
      <c r="B298" s="121">
        <v>5</v>
      </c>
      <c r="C298" s="102" t="str">
        <f t="shared" si="84"/>
        <v>17 h à 19 h</v>
      </c>
      <c r="D298" s="22">
        <v>10</v>
      </c>
      <c r="E298" s="14">
        <v>0</v>
      </c>
      <c r="F298" s="14">
        <v>0</v>
      </c>
      <c r="G298" s="14">
        <v>11</v>
      </c>
      <c r="H298" s="14">
        <v>12</v>
      </c>
      <c r="I298" s="14">
        <v>0</v>
      </c>
      <c r="J298" s="14">
        <v>20</v>
      </c>
      <c r="K298" s="14">
        <v>18</v>
      </c>
      <c r="L298" s="14">
        <v>12</v>
      </c>
      <c r="M298" s="14">
        <v>11</v>
      </c>
      <c r="N298" s="14">
        <v>0</v>
      </c>
      <c r="O298" s="14">
        <v>12</v>
      </c>
    </row>
    <row r="299" spans="2:17" ht="14" customHeight="1" thickTop="1" thickBot="1" x14ac:dyDescent="0.2">
      <c r="B299" s="121">
        <v>6</v>
      </c>
      <c r="C299" s="102" t="str">
        <f t="shared" si="84"/>
        <v>19 h à 23 h</v>
      </c>
      <c r="D299" s="22">
        <v>10</v>
      </c>
      <c r="E299" s="14">
        <v>0</v>
      </c>
      <c r="F299" s="14">
        <v>0</v>
      </c>
      <c r="G299" s="14">
        <v>11</v>
      </c>
      <c r="H299" s="14">
        <v>12</v>
      </c>
      <c r="I299" s="14">
        <v>0</v>
      </c>
      <c r="J299" s="14">
        <v>20</v>
      </c>
      <c r="K299" s="14">
        <v>18</v>
      </c>
      <c r="L299" s="14">
        <v>12</v>
      </c>
      <c r="M299" s="14">
        <v>11</v>
      </c>
      <c r="N299" s="14">
        <v>0</v>
      </c>
      <c r="O299" s="14">
        <v>12</v>
      </c>
    </row>
    <row r="300" spans="2:17" ht="14" customHeight="1" thickTop="1" thickBot="1" x14ac:dyDescent="0.2">
      <c r="B300" s="121">
        <v>7</v>
      </c>
      <c r="C300" s="102" t="str">
        <f t="shared" si="84"/>
        <v>23 h à 6 h</v>
      </c>
      <c r="D300" s="14">
        <v>0</v>
      </c>
      <c r="E300" s="14">
        <v>0</v>
      </c>
      <c r="F300" s="14">
        <v>0</v>
      </c>
      <c r="G300" s="14">
        <v>0</v>
      </c>
      <c r="H300" s="14">
        <v>0</v>
      </c>
      <c r="I300" s="14">
        <v>0</v>
      </c>
      <c r="J300" s="14">
        <v>0</v>
      </c>
      <c r="K300" s="14">
        <v>0</v>
      </c>
      <c r="L300" s="14">
        <v>0</v>
      </c>
      <c r="M300" s="14">
        <v>0</v>
      </c>
      <c r="N300" s="14">
        <v>0</v>
      </c>
      <c r="O300" s="14">
        <v>0</v>
      </c>
    </row>
    <row r="301" spans="2:17" ht="14" customHeight="1" thickTop="1" thickBot="1" x14ac:dyDescent="0.2">
      <c r="B301" s="19"/>
      <c r="C301" s="21" t="str">
        <f>+C292</f>
        <v>Total</v>
      </c>
      <c r="D301" s="24">
        <f t="shared" ref="D301:O301" si="85">+D294+D295+D296+D297+D298+D299+D300</f>
        <v>50</v>
      </c>
      <c r="E301" s="24">
        <f t="shared" si="85"/>
        <v>0</v>
      </c>
      <c r="F301" s="24">
        <f t="shared" si="85"/>
        <v>0</v>
      </c>
      <c r="G301" s="24">
        <f t="shared" si="85"/>
        <v>55</v>
      </c>
      <c r="H301" s="24">
        <f t="shared" si="85"/>
        <v>60</v>
      </c>
      <c r="I301" s="24">
        <f t="shared" si="85"/>
        <v>0</v>
      </c>
      <c r="J301" s="24">
        <f t="shared" si="85"/>
        <v>100</v>
      </c>
      <c r="K301" s="24">
        <f t="shared" si="85"/>
        <v>90</v>
      </c>
      <c r="L301" s="24">
        <f t="shared" si="85"/>
        <v>60</v>
      </c>
      <c r="M301" s="24">
        <f t="shared" si="85"/>
        <v>55</v>
      </c>
      <c r="N301" s="24">
        <f t="shared" si="85"/>
        <v>0</v>
      </c>
      <c r="O301" s="24">
        <f t="shared" si="85"/>
        <v>60</v>
      </c>
    </row>
    <row r="302" spans="2:17" ht="14" customHeight="1" thickTop="1" thickBot="1" x14ac:dyDescent="0.2">
      <c r="B302" s="124" t="s">
        <v>2</v>
      </c>
      <c r="C302" s="125" t="str">
        <f>+'Calendrier 2021'!C41</f>
        <v>Vendredi</v>
      </c>
      <c r="D302" s="77">
        <f>+'Calendrier 2021'!D41</f>
        <v>44225</v>
      </c>
      <c r="E302" s="77" t="s">
        <v>2</v>
      </c>
      <c r="F302" s="77" t="s">
        <v>2</v>
      </c>
      <c r="G302" s="77">
        <f>+'Calendrier 2021'!G41</f>
        <v>44316</v>
      </c>
      <c r="H302" s="77">
        <f>'Calendrier 2021'!H41</f>
        <v>44344</v>
      </c>
      <c r="I302" s="77" t="s">
        <v>2</v>
      </c>
      <c r="J302" s="77">
        <f>+'Calendrier 2021'!J41</f>
        <v>44407</v>
      </c>
      <c r="K302" s="77">
        <f>'Calendrier 2021'!K41</f>
        <v>44435</v>
      </c>
      <c r="L302" s="77" t="s">
        <v>2</v>
      </c>
      <c r="M302" s="77">
        <f>+'Calendrier 2021'!M41</f>
        <v>44498</v>
      </c>
      <c r="N302" s="77" t="s">
        <v>2</v>
      </c>
      <c r="O302" s="78" t="str">
        <f>+'Calendrier 2021'!O41</f>
        <v>31 dec 2021</v>
      </c>
    </row>
    <row r="303" spans="2:17" ht="14" customHeight="1" thickTop="1" thickBot="1" x14ac:dyDescent="0.2">
      <c r="B303" s="18">
        <v>1</v>
      </c>
      <c r="C303" s="100" t="str">
        <f t="shared" ref="C303:C309" si="86">C294</f>
        <v>6 h à 9 h 30</v>
      </c>
      <c r="D303" s="12">
        <v>0</v>
      </c>
      <c r="E303" s="12">
        <v>0</v>
      </c>
      <c r="F303" s="12">
        <v>0</v>
      </c>
      <c r="G303" s="12">
        <v>0</v>
      </c>
      <c r="H303" s="12">
        <v>0</v>
      </c>
      <c r="I303" s="12">
        <v>0</v>
      </c>
      <c r="J303" s="12">
        <v>0</v>
      </c>
      <c r="K303" s="12">
        <v>0</v>
      </c>
      <c r="L303" s="12">
        <v>0</v>
      </c>
      <c r="M303" s="12">
        <v>0</v>
      </c>
      <c r="N303" s="12">
        <v>0</v>
      </c>
      <c r="O303" s="12">
        <v>0</v>
      </c>
      <c r="P303" s="29" t="s">
        <v>2</v>
      </c>
      <c r="Q303" s="28"/>
    </row>
    <row r="304" spans="2:17" ht="14" customHeight="1" thickTop="1" thickBot="1" x14ac:dyDescent="0.2">
      <c r="B304" s="121">
        <v>2</v>
      </c>
      <c r="C304" s="102" t="str">
        <f t="shared" si="86"/>
        <v>9 h 30 à 11 h 30</v>
      </c>
      <c r="D304" s="312">
        <v>10</v>
      </c>
      <c r="E304" s="14">
        <v>0</v>
      </c>
      <c r="F304" s="14">
        <v>0</v>
      </c>
      <c r="G304" s="14">
        <v>11</v>
      </c>
      <c r="H304" s="14">
        <v>12</v>
      </c>
      <c r="I304" s="14">
        <v>0</v>
      </c>
      <c r="J304" s="14">
        <v>20</v>
      </c>
      <c r="K304" s="14">
        <v>18</v>
      </c>
      <c r="L304" s="14">
        <v>0</v>
      </c>
      <c r="M304" s="14">
        <v>11</v>
      </c>
      <c r="N304" s="14">
        <v>0</v>
      </c>
      <c r="O304" s="14">
        <v>12</v>
      </c>
    </row>
    <row r="305" spans="2:15" ht="14" customHeight="1" thickTop="1" thickBot="1" x14ac:dyDescent="0.2">
      <c r="B305" s="121">
        <v>3</v>
      </c>
      <c r="C305" s="102" t="str">
        <f t="shared" si="86"/>
        <v>11 h 30 à 14 h 30</v>
      </c>
      <c r="D305" s="22">
        <v>10</v>
      </c>
      <c r="E305" s="14">
        <v>0</v>
      </c>
      <c r="F305" s="14">
        <v>0</v>
      </c>
      <c r="G305" s="14">
        <v>11</v>
      </c>
      <c r="H305" s="14">
        <v>12</v>
      </c>
      <c r="I305" s="14">
        <v>0</v>
      </c>
      <c r="J305" s="14">
        <v>20</v>
      </c>
      <c r="K305" s="14">
        <v>18</v>
      </c>
      <c r="L305" s="14">
        <v>0</v>
      </c>
      <c r="M305" s="14">
        <v>11</v>
      </c>
      <c r="N305" s="14">
        <v>0</v>
      </c>
      <c r="O305" s="14">
        <v>12</v>
      </c>
    </row>
    <row r="306" spans="2:15" ht="14" customHeight="1" thickTop="1" thickBot="1" x14ac:dyDescent="0.2">
      <c r="B306" s="121">
        <v>4</v>
      </c>
      <c r="C306" s="102" t="str">
        <f t="shared" si="86"/>
        <v>14 h 30 à 17 h</v>
      </c>
      <c r="D306" s="22">
        <v>10</v>
      </c>
      <c r="E306" s="14">
        <v>0</v>
      </c>
      <c r="F306" s="14">
        <v>0</v>
      </c>
      <c r="G306" s="14">
        <v>11</v>
      </c>
      <c r="H306" s="14">
        <v>12</v>
      </c>
      <c r="I306" s="14">
        <v>0</v>
      </c>
      <c r="J306" s="14">
        <v>20</v>
      </c>
      <c r="K306" s="14">
        <v>18</v>
      </c>
      <c r="L306" s="14">
        <v>0</v>
      </c>
      <c r="M306" s="14">
        <v>11</v>
      </c>
      <c r="N306" s="14">
        <v>0</v>
      </c>
      <c r="O306" s="14">
        <v>12</v>
      </c>
    </row>
    <row r="307" spans="2:15" ht="14" customHeight="1" thickTop="1" thickBot="1" x14ac:dyDescent="0.2">
      <c r="B307" s="121">
        <v>5</v>
      </c>
      <c r="C307" s="102" t="str">
        <f t="shared" si="86"/>
        <v>17 h à 19 h</v>
      </c>
      <c r="D307" s="22">
        <v>10</v>
      </c>
      <c r="E307" s="14">
        <v>0</v>
      </c>
      <c r="F307" s="14">
        <v>0</v>
      </c>
      <c r="G307" s="14">
        <v>11</v>
      </c>
      <c r="H307" s="14">
        <v>12</v>
      </c>
      <c r="I307" s="14">
        <v>0</v>
      </c>
      <c r="J307" s="14">
        <v>20</v>
      </c>
      <c r="K307" s="14">
        <v>18</v>
      </c>
      <c r="L307" s="14">
        <v>0</v>
      </c>
      <c r="M307" s="14">
        <v>11</v>
      </c>
      <c r="N307" s="14">
        <v>0</v>
      </c>
      <c r="O307" s="14">
        <v>12</v>
      </c>
    </row>
    <row r="308" spans="2:15" ht="14" customHeight="1" thickTop="1" thickBot="1" x14ac:dyDescent="0.2">
      <c r="B308" s="121">
        <v>6</v>
      </c>
      <c r="C308" s="102" t="str">
        <f t="shared" si="86"/>
        <v>19 h à 23 h</v>
      </c>
      <c r="D308" s="22">
        <v>10</v>
      </c>
      <c r="E308" s="14">
        <v>0</v>
      </c>
      <c r="F308" s="14">
        <v>0</v>
      </c>
      <c r="G308" s="14">
        <v>11</v>
      </c>
      <c r="H308" s="14">
        <v>12</v>
      </c>
      <c r="I308" s="14">
        <v>0</v>
      </c>
      <c r="J308" s="14">
        <v>20</v>
      </c>
      <c r="K308" s="14">
        <v>18</v>
      </c>
      <c r="L308" s="14">
        <v>0</v>
      </c>
      <c r="M308" s="14">
        <v>11</v>
      </c>
      <c r="N308" s="14">
        <v>0</v>
      </c>
      <c r="O308" s="14">
        <v>12</v>
      </c>
    </row>
    <row r="309" spans="2:15" ht="14" customHeight="1" thickTop="1" thickBot="1" x14ac:dyDescent="0.2">
      <c r="B309" s="121">
        <v>7</v>
      </c>
      <c r="C309" s="102" t="str">
        <f t="shared" si="86"/>
        <v>23 h à 6 h</v>
      </c>
      <c r="D309" s="14">
        <v>0</v>
      </c>
      <c r="E309" s="14">
        <v>0</v>
      </c>
      <c r="F309" s="14">
        <v>0</v>
      </c>
      <c r="G309" s="14">
        <v>0</v>
      </c>
      <c r="H309" s="14">
        <v>0</v>
      </c>
      <c r="I309" s="14">
        <v>0</v>
      </c>
      <c r="J309" s="14">
        <v>0</v>
      </c>
      <c r="K309" s="14">
        <v>0</v>
      </c>
      <c r="L309" s="14">
        <v>0</v>
      </c>
      <c r="M309" s="14">
        <v>0</v>
      </c>
      <c r="N309" s="14">
        <v>0</v>
      </c>
      <c r="O309" s="14">
        <v>0</v>
      </c>
    </row>
    <row r="310" spans="2:15" ht="14" customHeight="1" thickTop="1" thickBot="1" x14ac:dyDescent="0.2">
      <c r="B310" s="19"/>
      <c r="C310" s="21" t="str">
        <f t="shared" ref="C310" si="87">+C301</f>
        <v>Total</v>
      </c>
      <c r="D310" s="24">
        <f t="shared" ref="D310:L310" si="88">+D303+D304+D305+D306+D307+D308+D309</f>
        <v>50</v>
      </c>
      <c r="E310" s="24">
        <f t="shared" si="88"/>
        <v>0</v>
      </c>
      <c r="F310" s="24">
        <f t="shared" si="88"/>
        <v>0</v>
      </c>
      <c r="G310" s="24">
        <f t="shared" si="88"/>
        <v>55</v>
      </c>
      <c r="H310" s="24">
        <f t="shared" si="88"/>
        <v>60</v>
      </c>
      <c r="I310" s="24">
        <f t="shared" si="88"/>
        <v>0</v>
      </c>
      <c r="J310" s="24">
        <f t="shared" si="88"/>
        <v>100</v>
      </c>
      <c r="K310" s="24">
        <f t="shared" si="88"/>
        <v>90</v>
      </c>
      <c r="L310" s="24">
        <f t="shared" si="88"/>
        <v>0</v>
      </c>
      <c r="M310" s="24">
        <f>+M303+M304+M305+M306+M307+M308+M309</f>
        <v>55</v>
      </c>
      <c r="N310" s="24">
        <f>+N303+N304+N305+N306+N307+N308+N309</f>
        <v>0</v>
      </c>
      <c r="O310" s="24">
        <f>+O303+O304+O305+O306+O307+O308+O309</f>
        <v>60</v>
      </c>
    </row>
    <row r="311" spans="2:15" ht="14" customHeight="1" thickTop="1" thickBot="1" x14ac:dyDescent="0.2">
      <c r="B311" s="124" t="s">
        <v>2</v>
      </c>
      <c r="C311" s="125" t="str">
        <f>+'Calendrier 2021'!C42</f>
        <v>Samedi</v>
      </c>
      <c r="D311" s="77">
        <f>+'Calendrier 2021'!D42</f>
        <v>44226</v>
      </c>
      <c r="E311" s="77" t="s">
        <v>2</v>
      </c>
      <c r="F311" s="77" t="s">
        <v>2</v>
      </c>
      <c r="G311" s="77" t="s">
        <v>2</v>
      </c>
      <c r="H311" s="77">
        <f>'Calendrier 2021'!H42</f>
        <v>44345</v>
      </c>
      <c r="I311" s="77" t="s">
        <v>2</v>
      </c>
      <c r="J311" s="77">
        <f>+'Calendrier 2021'!J42</f>
        <v>44408</v>
      </c>
      <c r="K311" s="77">
        <f>'Calendrier 2021'!K42</f>
        <v>44436</v>
      </c>
      <c r="L311" s="77" t="s">
        <v>2</v>
      </c>
      <c r="M311" s="77">
        <f>+'Calendrier 2021'!M42</f>
        <v>44499</v>
      </c>
      <c r="N311" s="77" t="s">
        <v>2</v>
      </c>
      <c r="O311" s="78" t="s">
        <v>2</v>
      </c>
    </row>
    <row r="312" spans="2:15" ht="14" customHeight="1" thickTop="1" thickBot="1" x14ac:dyDescent="0.2">
      <c r="B312" s="18">
        <v>1</v>
      </c>
      <c r="C312" s="100" t="str">
        <f t="shared" ref="C312:C318" si="89">C303</f>
        <v>6 h à 9 h 30</v>
      </c>
      <c r="D312" s="12">
        <v>0</v>
      </c>
      <c r="E312" s="12">
        <v>0</v>
      </c>
      <c r="F312" s="12">
        <v>0</v>
      </c>
      <c r="G312" s="12">
        <v>0</v>
      </c>
      <c r="H312" s="12">
        <v>0</v>
      </c>
      <c r="I312" s="12">
        <v>0</v>
      </c>
      <c r="J312" s="12">
        <v>0</v>
      </c>
      <c r="K312" s="12">
        <v>0</v>
      </c>
      <c r="L312" s="12">
        <v>0</v>
      </c>
      <c r="M312" s="12">
        <v>0</v>
      </c>
      <c r="N312" s="12">
        <v>0</v>
      </c>
      <c r="O312" s="12">
        <v>0</v>
      </c>
    </row>
    <row r="313" spans="2:15" ht="14" customHeight="1" thickTop="1" thickBot="1" x14ac:dyDescent="0.2">
      <c r="B313" s="18">
        <v>2</v>
      </c>
      <c r="C313" s="102" t="str">
        <f t="shared" si="89"/>
        <v>9 h 30 à 11 h 30</v>
      </c>
      <c r="D313" s="312">
        <v>10</v>
      </c>
      <c r="E313" s="14">
        <v>0</v>
      </c>
      <c r="F313" s="14">
        <v>0</v>
      </c>
      <c r="G313" s="14">
        <v>0</v>
      </c>
      <c r="H313" s="14">
        <v>12</v>
      </c>
      <c r="I313" s="14">
        <v>0</v>
      </c>
      <c r="J313" s="14">
        <v>20</v>
      </c>
      <c r="K313" s="14">
        <v>18</v>
      </c>
      <c r="L313" s="14">
        <v>0</v>
      </c>
      <c r="M313" s="14">
        <v>11</v>
      </c>
      <c r="N313" s="14">
        <v>0</v>
      </c>
      <c r="O313" s="14">
        <v>0</v>
      </c>
    </row>
    <row r="314" spans="2:15" ht="14" customHeight="1" thickTop="1" thickBot="1" x14ac:dyDescent="0.2">
      <c r="B314" s="18">
        <v>3</v>
      </c>
      <c r="C314" s="102" t="str">
        <f t="shared" si="89"/>
        <v>11 h 30 à 14 h 30</v>
      </c>
      <c r="D314" s="22">
        <v>10</v>
      </c>
      <c r="E314" s="14">
        <v>0</v>
      </c>
      <c r="F314" s="14">
        <v>0</v>
      </c>
      <c r="G314" s="14">
        <v>0</v>
      </c>
      <c r="H314" s="14">
        <v>12</v>
      </c>
      <c r="I314" s="14">
        <v>0</v>
      </c>
      <c r="J314" s="14">
        <v>20</v>
      </c>
      <c r="K314" s="14">
        <v>18</v>
      </c>
      <c r="L314" s="14">
        <v>0</v>
      </c>
      <c r="M314" s="14">
        <v>11</v>
      </c>
      <c r="N314" s="14">
        <v>0</v>
      </c>
      <c r="O314" s="14">
        <v>0</v>
      </c>
    </row>
    <row r="315" spans="2:15" ht="14" customHeight="1" thickTop="1" thickBot="1" x14ac:dyDescent="0.2">
      <c r="B315" s="18">
        <v>4</v>
      </c>
      <c r="C315" s="102" t="str">
        <f t="shared" si="89"/>
        <v>14 h 30 à 17 h</v>
      </c>
      <c r="D315" s="22">
        <v>10</v>
      </c>
      <c r="E315" s="14">
        <v>0</v>
      </c>
      <c r="F315" s="14">
        <v>0</v>
      </c>
      <c r="G315" s="14">
        <v>0</v>
      </c>
      <c r="H315" s="14">
        <v>12</v>
      </c>
      <c r="I315" s="14">
        <v>0</v>
      </c>
      <c r="J315" s="14">
        <v>20</v>
      </c>
      <c r="K315" s="14">
        <v>18</v>
      </c>
      <c r="L315" s="14">
        <v>0</v>
      </c>
      <c r="M315" s="14">
        <v>11</v>
      </c>
      <c r="N315" s="14">
        <v>0</v>
      </c>
      <c r="O315" s="14">
        <v>0</v>
      </c>
    </row>
    <row r="316" spans="2:15" ht="14" customHeight="1" thickTop="1" thickBot="1" x14ac:dyDescent="0.2">
      <c r="B316" s="18">
        <v>5</v>
      </c>
      <c r="C316" s="102" t="str">
        <f t="shared" si="89"/>
        <v>17 h à 19 h</v>
      </c>
      <c r="D316" s="22">
        <v>10</v>
      </c>
      <c r="E316" s="14">
        <v>0</v>
      </c>
      <c r="F316" s="14">
        <v>0</v>
      </c>
      <c r="G316" s="14">
        <v>0</v>
      </c>
      <c r="H316" s="14">
        <v>12</v>
      </c>
      <c r="I316" s="14">
        <v>0</v>
      </c>
      <c r="J316" s="14">
        <v>20</v>
      </c>
      <c r="K316" s="14">
        <v>18</v>
      </c>
      <c r="L316" s="14">
        <v>0</v>
      </c>
      <c r="M316" s="14">
        <v>11</v>
      </c>
      <c r="N316" s="14">
        <v>0</v>
      </c>
      <c r="O316" s="14">
        <v>0</v>
      </c>
    </row>
    <row r="317" spans="2:15" ht="14" customHeight="1" thickTop="1" thickBot="1" x14ac:dyDescent="0.2">
      <c r="B317" s="18">
        <v>6</v>
      </c>
      <c r="C317" s="102" t="str">
        <f t="shared" si="89"/>
        <v>19 h à 23 h</v>
      </c>
      <c r="D317" s="22">
        <v>10</v>
      </c>
      <c r="E317" s="14">
        <v>0</v>
      </c>
      <c r="F317" s="14">
        <v>0</v>
      </c>
      <c r="G317" s="14">
        <v>0</v>
      </c>
      <c r="H317" s="14">
        <v>12</v>
      </c>
      <c r="I317" s="14">
        <v>0</v>
      </c>
      <c r="J317" s="14">
        <v>20</v>
      </c>
      <c r="K317" s="14">
        <v>18</v>
      </c>
      <c r="L317" s="14">
        <v>0</v>
      </c>
      <c r="M317" s="14">
        <v>11</v>
      </c>
      <c r="N317" s="14">
        <v>0</v>
      </c>
      <c r="O317" s="14">
        <v>0</v>
      </c>
    </row>
    <row r="318" spans="2:15" ht="14" customHeight="1" thickTop="1" thickBot="1" x14ac:dyDescent="0.2">
      <c r="B318" s="18">
        <v>7</v>
      </c>
      <c r="C318" s="102" t="str">
        <f t="shared" si="89"/>
        <v>23 h à 6 h</v>
      </c>
      <c r="D318" s="14">
        <v>0</v>
      </c>
      <c r="E318" s="14">
        <v>0</v>
      </c>
      <c r="F318" s="14">
        <v>0</v>
      </c>
      <c r="G318" s="14">
        <v>0</v>
      </c>
      <c r="H318" s="14">
        <v>0</v>
      </c>
      <c r="I318" s="14">
        <v>0</v>
      </c>
      <c r="J318" s="14">
        <v>0</v>
      </c>
      <c r="K318" s="14">
        <v>0</v>
      </c>
      <c r="L318" s="14">
        <v>0</v>
      </c>
      <c r="M318" s="14">
        <v>0</v>
      </c>
      <c r="N318" s="14">
        <v>0</v>
      </c>
      <c r="O318" s="14">
        <v>0</v>
      </c>
    </row>
    <row r="319" spans="2:15" ht="14" customHeight="1" thickTop="1" thickBot="1" x14ac:dyDescent="0.2">
      <c r="B319" s="19"/>
      <c r="C319" s="21" t="str">
        <f t="shared" ref="C319" si="90">+C310</f>
        <v>Total</v>
      </c>
      <c r="D319" s="24">
        <f t="shared" ref="D319:M319" si="91">+D312+D313+D314+D315+D316+D317+D318</f>
        <v>50</v>
      </c>
      <c r="E319" s="24">
        <f t="shared" si="91"/>
        <v>0</v>
      </c>
      <c r="F319" s="24">
        <f t="shared" si="91"/>
        <v>0</v>
      </c>
      <c r="G319" s="24">
        <f t="shared" si="91"/>
        <v>0</v>
      </c>
      <c r="H319" s="24">
        <f t="shared" si="91"/>
        <v>60</v>
      </c>
      <c r="I319" s="24">
        <f t="shared" si="91"/>
        <v>0</v>
      </c>
      <c r="J319" s="24">
        <f t="shared" si="91"/>
        <v>100</v>
      </c>
      <c r="K319" s="24">
        <f t="shared" si="91"/>
        <v>90</v>
      </c>
      <c r="L319" s="24">
        <f t="shared" si="91"/>
        <v>0</v>
      </c>
      <c r="M319" s="24">
        <f t="shared" si="91"/>
        <v>55</v>
      </c>
      <c r="N319" s="24">
        <f>+N312+N313+N314+N315+N316+N317+N318</f>
        <v>0</v>
      </c>
      <c r="O319" s="24">
        <f>+O312+O313+O314+O315+O316+O317+O318</f>
        <v>0</v>
      </c>
    </row>
    <row r="320" spans="2:15" ht="14" customHeight="1" thickTop="1" thickBot="1" x14ac:dyDescent="0.2">
      <c r="B320" s="124" t="s">
        <v>2</v>
      </c>
      <c r="C320" s="125" t="str">
        <f>+'Calendrier 2021'!C43</f>
        <v>Dimanche</v>
      </c>
      <c r="D320" s="77">
        <f>+'Calendrier 2021'!D43</f>
        <v>44227</v>
      </c>
      <c r="E320" s="77" t="s">
        <v>2</v>
      </c>
      <c r="F320" s="77" t="s">
        <v>2</v>
      </c>
      <c r="G320" s="77" t="s">
        <v>2</v>
      </c>
      <c r="H320" s="77">
        <f>'Calendrier 2021'!H43</f>
        <v>44346</v>
      </c>
      <c r="I320" s="77" t="s">
        <v>2</v>
      </c>
      <c r="J320" s="77" t="s">
        <v>2</v>
      </c>
      <c r="K320" s="77">
        <f>'Calendrier 2021'!K43</f>
        <v>44437</v>
      </c>
      <c r="L320" s="77" t="s">
        <v>2</v>
      </c>
      <c r="M320" s="77">
        <f>+'Calendrier 2021'!M43</f>
        <v>44500</v>
      </c>
      <c r="N320" s="77" t="s">
        <v>2</v>
      </c>
      <c r="O320" s="78" t="s">
        <v>2</v>
      </c>
    </row>
    <row r="321" spans="2:15" ht="14" customHeight="1" thickTop="1" thickBot="1" x14ac:dyDescent="0.2">
      <c r="B321" s="121">
        <v>1</v>
      </c>
      <c r="C321" s="100" t="str">
        <f t="shared" ref="C321:C327" si="92">C312</f>
        <v>6 h à 9 h 30</v>
      </c>
      <c r="D321" s="12">
        <v>0</v>
      </c>
      <c r="E321" s="12">
        <v>0</v>
      </c>
      <c r="F321" s="12">
        <v>0</v>
      </c>
      <c r="G321" s="12">
        <v>0</v>
      </c>
      <c r="H321" s="12">
        <v>0</v>
      </c>
      <c r="I321" s="12">
        <v>0</v>
      </c>
      <c r="J321" s="12">
        <v>0</v>
      </c>
      <c r="K321" s="12">
        <v>0</v>
      </c>
      <c r="L321" s="12">
        <v>0</v>
      </c>
      <c r="M321" s="12">
        <v>0</v>
      </c>
      <c r="N321" s="12">
        <v>0</v>
      </c>
      <c r="O321" s="12">
        <v>0</v>
      </c>
    </row>
    <row r="322" spans="2:15" ht="14" customHeight="1" thickTop="1" thickBot="1" x14ac:dyDescent="0.2">
      <c r="B322" s="18">
        <v>2</v>
      </c>
      <c r="C322" s="102" t="str">
        <f t="shared" si="92"/>
        <v>9 h 30 à 11 h 30</v>
      </c>
      <c r="D322" s="312">
        <v>10</v>
      </c>
      <c r="E322" s="14">
        <v>0</v>
      </c>
      <c r="F322" s="14">
        <v>0</v>
      </c>
      <c r="G322" s="14">
        <v>0</v>
      </c>
      <c r="H322" s="14">
        <v>12</v>
      </c>
      <c r="I322" s="14">
        <v>0</v>
      </c>
      <c r="J322" s="14">
        <v>0</v>
      </c>
      <c r="K322" s="14">
        <v>18</v>
      </c>
      <c r="L322" s="14">
        <v>0</v>
      </c>
      <c r="M322" s="14">
        <v>11</v>
      </c>
      <c r="N322" s="14">
        <v>0</v>
      </c>
      <c r="O322" s="14">
        <v>0</v>
      </c>
    </row>
    <row r="323" spans="2:15" ht="14" customHeight="1" thickTop="1" thickBot="1" x14ac:dyDescent="0.2">
      <c r="B323" s="18">
        <v>3</v>
      </c>
      <c r="C323" s="102" t="str">
        <f t="shared" si="92"/>
        <v>11 h 30 à 14 h 30</v>
      </c>
      <c r="D323" s="22">
        <v>10</v>
      </c>
      <c r="E323" s="14">
        <v>0</v>
      </c>
      <c r="F323" s="14">
        <v>0</v>
      </c>
      <c r="G323" s="14">
        <v>0</v>
      </c>
      <c r="H323" s="14">
        <v>12</v>
      </c>
      <c r="I323" s="14">
        <v>0</v>
      </c>
      <c r="J323" s="14">
        <v>0</v>
      </c>
      <c r="K323" s="14">
        <v>18</v>
      </c>
      <c r="L323" s="14">
        <v>0</v>
      </c>
      <c r="M323" s="14">
        <v>11</v>
      </c>
      <c r="N323" s="14">
        <v>0</v>
      </c>
      <c r="O323" s="14">
        <v>0</v>
      </c>
    </row>
    <row r="324" spans="2:15" ht="14" customHeight="1" thickTop="1" thickBot="1" x14ac:dyDescent="0.2">
      <c r="B324" s="18">
        <v>4</v>
      </c>
      <c r="C324" s="102" t="str">
        <f t="shared" si="92"/>
        <v>14 h 30 à 17 h</v>
      </c>
      <c r="D324" s="22">
        <v>10</v>
      </c>
      <c r="E324" s="14">
        <v>0</v>
      </c>
      <c r="F324" s="14">
        <v>0</v>
      </c>
      <c r="G324" s="14">
        <v>0</v>
      </c>
      <c r="H324" s="14">
        <v>12</v>
      </c>
      <c r="I324" s="14">
        <v>0</v>
      </c>
      <c r="J324" s="14">
        <v>0</v>
      </c>
      <c r="K324" s="14">
        <v>18</v>
      </c>
      <c r="L324" s="14">
        <v>0</v>
      </c>
      <c r="M324" s="14">
        <v>11</v>
      </c>
      <c r="N324" s="14">
        <v>0</v>
      </c>
      <c r="O324" s="14">
        <v>0</v>
      </c>
    </row>
    <row r="325" spans="2:15" ht="14" customHeight="1" thickTop="1" thickBot="1" x14ac:dyDescent="0.2">
      <c r="B325" s="18">
        <v>5</v>
      </c>
      <c r="C325" s="102" t="str">
        <f t="shared" si="92"/>
        <v>17 h à 19 h</v>
      </c>
      <c r="D325" s="22">
        <v>10</v>
      </c>
      <c r="E325" s="14">
        <v>0</v>
      </c>
      <c r="F325" s="14">
        <v>0</v>
      </c>
      <c r="G325" s="14">
        <v>0</v>
      </c>
      <c r="H325" s="14">
        <v>12</v>
      </c>
      <c r="I325" s="14">
        <v>0</v>
      </c>
      <c r="J325" s="14">
        <v>0</v>
      </c>
      <c r="K325" s="14">
        <v>18</v>
      </c>
      <c r="L325" s="14">
        <v>0</v>
      </c>
      <c r="M325" s="14">
        <v>11</v>
      </c>
      <c r="N325" s="14">
        <v>0</v>
      </c>
      <c r="O325" s="14">
        <v>0</v>
      </c>
    </row>
    <row r="326" spans="2:15" ht="14" customHeight="1" thickTop="1" thickBot="1" x14ac:dyDescent="0.2">
      <c r="B326" s="18">
        <v>6</v>
      </c>
      <c r="C326" s="102" t="str">
        <f t="shared" si="92"/>
        <v>19 h à 23 h</v>
      </c>
      <c r="D326" s="22">
        <v>10</v>
      </c>
      <c r="E326" s="14">
        <v>0</v>
      </c>
      <c r="F326" s="14">
        <v>0</v>
      </c>
      <c r="G326" s="14">
        <v>0</v>
      </c>
      <c r="H326" s="14">
        <v>12</v>
      </c>
      <c r="I326" s="14">
        <v>0</v>
      </c>
      <c r="J326" s="14">
        <v>0</v>
      </c>
      <c r="K326" s="14">
        <v>18</v>
      </c>
      <c r="L326" s="14">
        <v>0</v>
      </c>
      <c r="M326" s="14">
        <v>11</v>
      </c>
      <c r="N326" s="14">
        <v>0</v>
      </c>
      <c r="O326" s="14">
        <v>0</v>
      </c>
    </row>
    <row r="327" spans="2:15" ht="14" customHeight="1" thickTop="1" thickBot="1" x14ac:dyDescent="0.2">
      <c r="B327" s="18">
        <v>7</v>
      </c>
      <c r="C327" s="102" t="str">
        <f t="shared" si="92"/>
        <v>23 h à 6 h</v>
      </c>
      <c r="D327" s="14">
        <v>0</v>
      </c>
      <c r="E327" s="14">
        <v>0</v>
      </c>
      <c r="F327" s="14">
        <v>0</v>
      </c>
      <c r="G327" s="14">
        <v>0</v>
      </c>
      <c r="H327" s="14">
        <v>0</v>
      </c>
      <c r="I327" s="14">
        <v>0</v>
      </c>
      <c r="J327" s="14">
        <v>0</v>
      </c>
      <c r="K327" s="14">
        <v>0</v>
      </c>
      <c r="L327" s="14">
        <v>0</v>
      </c>
      <c r="M327" s="14">
        <v>0</v>
      </c>
      <c r="N327" s="14">
        <v>0</v>
      </c>
      <c r="O327" s="14">
        <v>0</v>
      </c>
    </row>
    <row r="328" spans="2:15" ht="14" customHeight="1" thickTop="1" thickBot="1" x14ac:dyDescent="0.2">
      <c r="B328" s="18"/>
      <c r="C328" s="16" t="str">
        <f t="shared" ref="C328" si="93">+C319</f>
        <v>Total</v>
      </c>
      <c r="D328" s="24">
        <f t="shared" ref="D328:L328" si="94">+D321+D322+D323+D324+D325+D326+D327</f>
        <v>50</v>
      </c>
      <c r="E328" s="24">
        <f t="shared" si="94"/>
        <v>0</v>
      </c>
      <c r="F328" s="24">
        <f t="shared" si="94"/>
        <v>0</v>
      </c>
      <c r="G328" s="24">
        <f t="shared" si="94"/>
        <v>0</v>
      </c>
      <c r="H328" s="24">
        <f t="shared" si="94"/>
        <v>60</v>
      </c>
      <c r="I328" s="24">
        <f t="shared" si="94"/>
        <v>0</v>
      </c>
      <c r="J328" s="24">
        <f t="shared" si="94"/>
        <v>0</v>
      </c>
      <c r="K328" s="24">
        <f t="shared" si="94"/>
        <v>90</v>
      </c>
      <c r="L328" s="24">
        <f t="shared" si="94"/>
        <v>0</v>
      </c>
      <c r="M328" s="24">
        <f>+M321+M322+M323+M324+M325+M326+M327</f>
        <v>55</v>
      </c>
      <c r="N328" s="24">
        <f>+N321+N322+N323+N324+N325+N326+N327</f>
        <v>0</v>
      </c>
      <c r="O328" s="24">
        <f>+O321+O322+O323+O324+O325+O326+O327</f>
        <v>0</v>
      </c>
    </row>
    <row r="329" spans="2:15" ht="14" customHeight="1" thickTop="1" thickBot="1" x14ac:dyDescent="0.2">
      <c r="B329" s="793" t="s">
        <v>21</v>
      </c>
      <c r="C329" s="796"/>
      <c r="D329" s="796"/>
      <c r="E329" s="796"/>
      <c r="F329" s="796"/>
      <c r="G329" s="796"/>
      <c r="H329" s="796"/>
      <c r="I329" s="796"/>
      <c r="J329" s="796"/>
      <c r="K329" s="796"/>
      <c r="L329" s="796"/>
      <c r="M329" s="796"/>
      <c r="N329" s="796"/>
      <c r="O329" s="797"/>
    </row>
    <row r="330" spans="2:15" ht="14" customHeight="1" thickTop="1" thickBot="1" x14ac:dyDescent="0.2">
      <c r="B330" s="128">
        <f>+'Calendrier 2021'!B44</f>
        <v>6</v>
      </c>
      <c r="C330" s="129" t="str">
        <f>+'Calendrier 2021'!C44</f>
        <v>Lundi</v>
      </c>
      <c r="D330" s="160" t="s">
        <v>2</v>
      </c>
      <c r="E330" s="130" t="s">
        <v>2</v>
      </c>
      <c r="F330" s="130" t="s">
        <v>2</v>
      </c>
      <c r="G330" s="130" t="s">
        <v>2</v>
      </c>
      <c r="H330" s="130">
        <f>'Calendrier 2021'!H44</f>
        <v>44347</v>
      </c>
      <c r="I330" s="130" t="s">
        <v>2</v>
      </c>
      <c r="J330" s="130" t="s">
        <v>2</v>
      </c>
      <c r="K330" s="130">
        <f>'Calendrier 2021'!K44</f>
        <v>44438</v>
      </c>
      <c r="L330" s="130" t="s">
        <v>2</v>
      </c>
      <c r="M330" s="130" t="s">
        <v>2</v>
      </c>
      <c r="N330" s="130" t="s">
        <v>2</v>
      </c>
      <c r="O330" s="131" t="s">
        <v>2</v>
      </c>
    </row>
    <row r="331" spans="2:15" ht="14" customHeight="1" thickTop="1" x14ac:dyDescent="0.15">
      <c r="B331" s="11">
        <v>1</v>
      </c>
      <c r="C331" s="100" t="str">
        <f t="shared" ref="C331:C337" si="95">C321</f>
        <v>6 h à 9 h 30</v>
      </c>
      <c r="D331" s="12">
        <v>0</v>
      </c>
      <c r="E331" s="12">
        <v>0</v>
      </c>
      <c r="F331" s="12">
        <v>0</v>
      </c>
      <c r="G331" s="12">
        <v>0</v>
      </c>
      <c r="H331" s="12">
        <v>0</v>
      </c>
      <c r="I331" s="12">
        <v>0</v>
      </c>
      <c r="J331" s="12">
        <v>0</v>
      </c>
      <c r="K331" s="12">
        <v>0</v>
      </c>
      <c r="L331" s="12">
        <v>0</v>
      </c>
      <c r="M331" s="12">
        <v>0</v>
      </c>
      <c r="N331" s="12">
        <v>0</v>
      </c>
      <c r="O331" s="12">
        <v>0</v>
      </c>
    </row>
    <row r="332" spans="2:15" ht="14" customHeight="1" x14ac:dyDescent="0.15">
      <c r="B332" s="13">
        <v>2</v>
      </c>
      <c r="C332" s="102" t="str">
        <f t="shared" si="95"/>
        <v>9 h 30 à 11 h 30</v>
      </c>
      <c r="D332" s="14">
        <v>0</v>
      </c>
      <c r="E332" s="14">
        <v>0</v>
      </c>
      <c r="F332" s="14">
        <v>0</v>
      </c>
      <c r="G332" s="14">
        <v>0</v>
      </c>
      <c r="H332" s="14">
        <v>12</v>
      </c>
      <c r="I332" s="14">
        <v>0</v>
      </c>
      <c r="J332" s="14">
        <v>0</v>
      </c>
      <c r="K332" s="14">
        <v>18</v>
      </c>
      <c r="L332" s="14">
        <v>0</v>
      </c>
      <c r="M332" s="14">
        <v>0</v>
      </c>
      <c r="N332" s="14">
        <v>0</v>
      </c>
      <c r="O332" s="14">
        <v>0</v>
      </c>
    </row>
    <row r="333" spans="2:15" ht="14" customHeight="1" x14ac:dyDescent="0.15">
      <c r="B333" s="13">
        <v>3</v>
      </c>
      <c r="C333" s="102" t="str">
        <f t="shared" si="95"/>
        <v>11 h 30 à 14 h 30</v>
      </c>
      <c r="D333" s="14">
        <v>0</v>
      </c>
      <c r="E333" s="14">
        <v>0</v>
      </c>
      <c r="F333" s="14">
        <v>0</v>
      </c>
      <c r="G333" s="14">
        <v>0</v>
      </c>
      <c r="H333" s="14">
        <v>12</v>
      </c>
      <c r="I333" s="14">
        <v>0</v>
      </c>
      <c r="J333" s="14">
        <v>0</v>
      </c>
      <c r="K333" s="14">
        <v>18</v>
      </c>
      <c r="L333" s="14">
        <v>0</v>
      </c>
      <c r="M333" s="14">
        <v>0</v>
      </c>
      <c r="N333" s="14">
        <v>0</v>
      </c>
      <c r="O333" s="14">
        <v>0</v>
      </c>
    </row>
    <row r="334" spans="2:15" ht="14" customHeight="1" x14ac:dyDescent="0.15">
      <c r="B334" s="13">
        <v>4</v>
      </c>
      <c r="C334" s="102" t="str">
        <f t="shared" si="95"/>
        <v>14 h 30 à 17 h</v>
      </c>
      <c r="D334" s="14">
        <v>0</v>
      </c>
      <c r="E334" s="14">
        <v>0</v>
      </c>
      <c r="F334" s="14">
        <v>0</v>
      </c>
      <c r="G334" s="14">
        <v>0</v>
      </c>
      <c r="H334" s="14">
        <v>12</v>
      </c>
      <c r="I334" s="14">
        <v>0</v>
      </c>
      <c r="J334" s="14">
        <v>0</v>
      </c>
      <c r="K334" s="14">
        <v>18</v>
      </c>
      <c r="L334" s="14">
        <v>0</v>
      </c>
      <c r="M334" s="14">
        <v>0</v>
      </c>
      <c r="N334" s="14">
        <v>0</v>
      </c>
      <c r="O334" s="14">
        <v>0</v>
      </c>
    </row>
    <row r="335" spans="2:15" ht="14" customHeight="1" x14ac:dyDescent="0.15">
      <c r="B335" s="13">
        <v>5</v>
      </c>
      <c r="C335" s="102" t="str">
        <f t="shared" si="95"/>
        <v>17 h à 19 h</v>
      </c>
      <c r="D335" s="14">
        <v>0</v>
      </c>
      <c r="E335" s="14">
        <v>0</v>
      </c>
      <c r="F335" s="14">
        <v>0</v>
      </c>
      <c r="G335" s="14">
        <v>0</v>
      </c>
      <c r="H335" s="14">
        <v>12</v>
      </c>
      <c r="I335" s="14">
        <v>0</v>
      </c>
      <c r="J335" s="14">
        <v>0</v>
      </c>
      <c r="K335" s="14">
        <v>18</v>
      </c>
      <c r="L335" s="14">
        <v>0</v>
      </c>
      <c r="M335" s="14">
        <v>0</v>
      </c>
      <c r="N335" s="14">
        <v>0</v>
      </c>
      <c r="O335" s="14">
        <v>0</v>
      </c>
    </row>
    <row r="336" spans="2:15" ht="14" customHeight="1" x14ac:dyDescent="0.15">
      <c r="B336" s="13">
        <v>6</v>
      </c>
      <c r="C336" s="102" t="str">
        <f t="shared" si="95"/>
        <v>19 h à 23 h</v>
      </c>
      <c r="D336" s="14">
        <v>0</v>
      </c>
      <c r="E336" s="14">
        <v>0</v>
      </c>
      <c r="F336" s="14">
        <v>0</v>
      </c>
      <c r="G336" s="14">
        <v>0</v>
      </c>
      <c r="H336" s="14">
        <v>12</v>
      </c>
      <c r="I336" s="14">
        <v>0</v>
      </c>
      <c r="J336" s="14">
        <v>0</v>
      </c>
      <c r="K336" s="14">
        <v>18</v>
      </c>
      <c r="L336" s="14">
        <v>0</v>
      </c>
      <c r="M336" s="14">
        <v>0</v>
      </c>
      <c r="N336" s="14">
        <v>0</v>
      </c>
      <c r="O336" s="14">
        <v>0</v>
      </c>
    </row>
    <row r="337" spans="2:15" ht="14" customHeight="1" x14ac:dyDescent="0.15">
      <c r="B337" s="13">
        <v>7</v>
      </c>
      <c r="C337" s="102" t="str">
        <f t="shared" si="95"/>
        <v>23 h à 6 h</v>
      </c>
      <c r="D337" s="14">
        <v>0</v>
      </c>
      <c r="E337" s="14">
        <v>0</v>
      </c>
      <c r="F337" s="14">
        <v>0</v>
      </c>
      <c r="G337" s="14">
        <v>0</v>
      </c>
      <c r="H337" s="14">
        <v>0</v>
      </c>
      <c r="I337" s="14">
        <v>0</v>
      </c>
      <c r="J337" s="14">
        <v>0</v>
      </c>
      <c r="K337" s="14">
        <v>0</v>
      </c>
      <c r="L337" s="14">
        <v>0</v>
      </c>
      <c r="M337" s="14">
        <v>0</v>
      </c>
      <c r="N337" s="14">
        <v>0</v>
      </c>
      <c r="O337" s="14">
        <v>0</v>
      </c>
    </row>
    <row r="338" spans="2:15" ht="14" customHeight="1" thickBot="1" x14ac:dyDescent="0.2">
      <c r="B338" s="15"/>
      <c r="C338" s="16" t="str">
        <f>+C328</f>
        <v>Total</v>
      </c>
      <c r="D338" s="17">
        <f>+D331+D332+D333+D334+D335+D336+D337</f>
        <v>0</v>
      </c>
      <c r="E338" s="17">
        <f>+E331+E332+E333+E334+E335+E336+E337</f>
        <v>0</v>
      </c>
      <c r="F338" s="24">
        <f t="shared" ref="F338:M338" si="96">+F331+F332+F333+F334+F335+F336+F337</f>
        <v>0</v>
      </c>
      <c r="G338" s="24">
        <f t="shared" si="96"/>
        <v>0</v>
      </c>
      <c r="H338" s="24">
        <f t="shared" si="96"/>
        <v>60</v>
      </c>
      <c r="I338" s="24">
        <f t="shared" si="96"/>
        <v>0</v>
      </c>
      <c r="J338" s="17">
        <f t="shared" si="96"/>
        <v>0</v>
      </c>
      <c r="K338" s="24">
        <f t="shared" si="96"/>
        <v>90</v>
      </c>
      <c r="L338" s="24">
        <f t="shared" si="96"/>
        <v>0</v>
      </c>
      <c r="M338" s="24">
        <f t="shared" si="96"/>
        <v>0</v>
      </c>
      <c r="N338" s="24">
        <f>+N331+N332+N333+N334+N335+N336+N337</f>
        <v>0</v>
      </c>
      <c r="O338" s="24">
        <f>+O331+O332+O333+O334+O335+O336+O337</f>
        <v>0</v>
      </c>
    </row>
    <row r="339" spans="2:15" ht="14" customHeight="1" thickTop="1" thickBot="1" x14ac:dyDescent="0.2">
      <c r="B339" s="124" t="s">
        <v>2</v>
      </c>
      <c r="C339" s="125" t="str">
        <f>+'Calendrier 2021'!C45</f>
        <v>Mardi</v>
      </c>
      <c r="D339" s="77" t="s">
        <v>2</v>
      </c>
      <c r="E339" s="77" t="s">
        <v>2</v>
      </c>
      <c r="F339" s="77" t="s">
        <v>2</v>
      </c>
      <c r="G339" s="77" t="s">
        <v>2</v>
      </c>
      <c r="H339" s="77" t="s">
        <v>2</v>
      </c>
      <c r="I339" s="77" t="s">
        <v>2</v>
      </c>
      <c r="J339" s="77" t="s">
        <v>2</v>
      </c>
      <c r="K339" s="77">
        <f>'Calendrier 2021'!K45</f>
        <v>44439</v>
      </c>
      <c r="L339" s="77" t="s">
        <v>2</v>
      </c>
      <c r="M339" s="77" t="s">
        <v>2</v>
      </c>
      <c r="N339" s="77" t="s">
        <v>2</v>
      </c>
      <c r="O339" s="78" t="s">
        <v>2</v>
      </c>
    </row>
    <row r="340" spans="2:15" ht="14" customHeight="1" thickTop="1" thickBot="1" x14ac:dyDescent="0.2">
      <c r="B340" s="18">
        <v>1</v>
      </c>
      <c r="C340" s="100" t="str">
        <f t="shared" ref="C340:C346" si="97">C331</f>
        <v>6 h à 9 h 30</v>
      </c>
      <c r="D340" s="12">
        <v>0</v>
      </c>
      <c r="E340" s="12">
        <v>0</v>
      </c>
      <c r="F340" s="12">
        <v>0</v>
      </c>
      <c r="G340" s="12">
        <v>0</v>
      </c>
      <c r="H340" s="12">
        <v>0</v>
      </c>
      <c r="I340" s="12">
        <v>0</v>
      </c>
      <c r="J340" s="12">
        <v>0</v>
      </c>
      <c r="K340" s="12">
        <v>0</v>
      </c>
      <c r="L340" s="12">
        <v>0</v>
      </c>
      <c r="M340" s="12">
        <v>0</v>
      </c>
      <c r="N340" s="12">
        <v>0</v>
      </c>
      <c r="O340" s="12">
        <v>0</v>
      </c>
    </row>
    <row r="341" spans="2:15" ht="14" customHeight="1" thickTop="1" thickBot="1" x14ac:dyDescent="0.2">
      <c r="B341" s="121">
        <v>2</v>
      </c>
      <c r="C341" s="102" t="str">
        <f t="shared" si="97"/>
        <v>9 h 30 à 11 h 30</v>
      </c>
      <c r="D341" s="14">
        <v>0</v>
      </c>
      <c r="E341" s="14">
        <v>0</v>
      </c>
      <c r="F341" s="14">
        <v>0</v>
      </c>
      <c r="G341" s="14">
        <v>0</v>
      </c>
      <c r="H341" s="14">
        <v>0</v>
      </c>
      <c r="I341" s="14">
        <v>0</v>
      </c>
      <c r="J341" s="14">
        <v>0</v>
      </c>
      <c r="K341" s="14">
        <v>18</v>
      </c>
      <c r="L341" s="14">
        <v>0</v>
      </c>
      <c r="M341" s="14">
        <v>0</v>
      </c>
      <c r="N341" s="14">
        <v>0</v>
      </c>
      <c r="O341" s="14">
        <v>0</v>
      </c>
    </row>
    <row r="342" spans="2:15" ht="14" customHeight="1" thickTop="1" thickBot="1" x14ac:dyDescent="0.2">
      <c r="B342" s="121">
        <v>3</v>
      </c>
      <c r="C342" s="102" t="str">
        <f t="shared" si="97"/>
        <v>11 h 30 à 14 h 30</v>
      </c>
      <c r="D342" s="14">
        <v>0</v>
      </c>
      <c r="E342" s="14">
        <v>0</v>
      </c>
      <c r="F342" s="14">
        <v>0</v>
      </c>
      <c r="G342" s="14">
        <v>0</v>
      </c>
      <c r="H342" s="14">
        <v>0</v>
      </c>
      <c r="I342" s="14">
        <v>0</v>
      </c>
      <c r="J342" s="14">
        <v>0</v>
      </c>
      <c r="K342" s="14">
        <v>18</v>
      </c>
      <c r="L342" s="14">
        <v>0</v>
      </c>
      <c r="M342" s="14">
        <v>0</v>
      </c>
      <c r="N342" s="14">
        <v>0</v>
      </c>
      <c r="O342" s="14">
        <v>0</v>
      </c>
    </row>
    <row r="343" spans="2:15" ht="14" customHeight="1" thickTop="1" thickBot="1" x14ac:dyDescent="0.2">
      <c r="B343" s="121">
        <v>4</v>
      </c>
      <c r="C343" s="102" t="str">
        <f t="shared" si="97"/>
        <v>14 h 30 à 17 h</v>
      </c>
      <c r="D343" s="14">
        <v>0</v>
      </c>
      <c r="E343" s="14">
        <v>0</v>
      </c>
      <c r="F343" s="14">
        <v>0</v>
      </c>
      <c r="G343" s="14">
        <v>0</v>
      </c>
      <c r="H343" s="14">
        <v>0</v>
      </c>
      <c r="I343" s="14">
        <v>0</v>
      </c>
      <c r="J343" s="14">
        <v>0</v>
      </c>
      <c r="K343" s="14">
        <v>18</v>
      </c>
      <c r="L343" s="14">
        <v>0</v>
      </c>
      <c r="M343" s="14">
        <v>0</v>
      </c>
      <c r="N343" s="14">
        <v>0</v>
      </c>
      <c r="O343" s="14">
        <v>0</v>
      </c>
    </row>
    <row r="344" spans="2:15" ht="14" customHeight="1" thickTop="1" thickBot="1" x14ac:dyDescent="0.2">
      <c r="B344" s="121">
        <v>5</v>
      </c>
      <c r="C344" s="102" t="str">
        <f t="shared" si="97"/>
        <v>17 h à 19 h</v>
      </c>
      <c r="D344" s="14">
        <v>0</v>
      </c>
      <c r="E344" s="14">
        <v>0</v>
      </c>
      <c r="F344" s="14">
        <v>0</v>
      </c>
      <c r="G344" s="14">
        <v>0</v>
      </c>
      <c r="H344" s="14">
        <v>0</v>
      </c>
      <c r="I344" s="14">
        <v>0</v>
      </c>
      <c r="J344" s="14">
        <v>0</v>
      </c>
      <c r="K344" s="14">
        <v>18</v>
      </c>
      <c r="L344" s="14">
        <v>0</v>
      </c>
      <c r="M344" s="14">
        <v>0</v>
      </c>
      <c r="N344" s="14">
        <v>0</v>
      </c>
      <c r="O344" s="14">
        <v>0</v>
      </c>
    </row>
    <row r="345" spans="2:15" ht="14" customHeight="1" thickTop="1" thickBot="1" x14ac:dyDescent="0.2">
      <c r="B345" s="121">
        <v>6</v>
      </c>
      <c r="C345" s="102" t="str">
        <f t="shared" si="97"/>
        <v>19 h à 23 h</v>
      </c>
      <c r="D345" s="14">
        <v>0</v>
      </c>
      <c r="E345" s="14">
        <v>0</v>
      </c>
      <c r="F345" s="14">
        <v>0</v>
      </c>
      <c r="G345" s="14">
        <v>0</v>
      </c>
      <c r="H345" s="14">
        <v>0</v>
      </c>
      <c r="I345" s="14">
        <v>0</v>
      </c>
      <c r="J345" s="14">
        <v>0</v>
      </c>
      <c r="K345" s="14">
        <v>18</v>
      </c>
      <c r="L345" s="14">
        <v>0</v>
      </c>
      <c r="M345" s="14">
        <v>0</v>
      </c>
      <c r="N345" s="14">
        <v>0</v>
      </c>
      <c r="O345" s="14">
        <v>0</v>
      </c>
    </row>
    <row r="346" spans="2:15" ht="14" customHeight="1" thickTop="1" thickBot="1" x14ac:dyDescent="0.2">
      <c r="B346" s="121">
        <v>7</v>
      </c>
      <c r="C346" s="102" t="str">
        <f t="shared" si="97"/>
        <v>23 h à 6 h</v>
      </c>
      <c r="D346" s="14">
        <v>0</v>
      </c>
      <c r="E346" s="14">
        <v>0</v>
      </c>
      <c r="F346" s="14">
        <v>0</v>
      </c>
      <c r="G346" s="14">
        <v>0</v>
      </c>
      <c r="H346" s="14">
        <v>0</v>
      </c>
      <c r="I346" s="14">
        <v>0</v>
      </c>
      <c r="J346" s="14">
        <v>0</v>
      </c>
      <c r="K346" s="14">
        <v>0</v>
      </c>
      <c r="L346" s="14">
        <v>0</v>
      </c>
      <c r="M346" s="14">
        <v>0</v>
      </c>
      <c r="N346" s="14">
        <v>0</v>
      </c>
      <c r="O346" s="14">
        <v>0</v>
      </c>
    </row>
    <row r="347" spans="2:15" ht="14" customHeight="1" thickTop="1" thickBot="1" x14ac:dyDescent="0.2">
      <c r="B347" s="19"/>
      <c r="C347" s="21" t="str">
        <f t="shared" ref="C347" si="98">+C338</f>
        <v>Total</v>
      </c>
      <c r="D347" s="17">
        <f>+D340+D341+D342+D343+D344+D345+D346</f>
        <v>0</v>
      </c>
      <c r="E347" s="17">
        <f>+E340+E341+E342+E343+E344+E345+E346</f>
        <v>0</v>
      </c>
      <c r="F347" s="24">
        <f t="shared" ref="F347:M347" si="99">+F340+F341+F342+F343+F344+F345+F346</f>
        <v>0</v>
      </c>
      <c r="G347" s="24">
        <f t="shared" si="99"/>
        <v>0</v>
      </c>
      <c r="H347" s="24">
        <f t="shared" si="99"/>
        <v>0</v>
      </c>
      <c r="I347" s="24">
        <f t="shared" si="99"/>
        <v>0</v>
      </c>
      <c r="J347" s="24">
        <f t="shared" si="99"/>
        <v>0</v>
      </c>
      <c r="K347" s="24">
        <f t="shared" si="99"/>
        <v>90</v>
      </c>
      <c r="L347" s="24">
        <f t="shared" si="99"/>
        <v>0</v>
      </c>
      <c r="M347" s="17">
        <f t="shared" si="99"/>
        <v>0</v>
      </c>
      <c r="N347" s="24">
        <f>+N340+N341+N342+N343+N344+N345+N346</f>
        <v>0</v>
      </c>
      <c r="O347" s="24">
        <f>+O340+O341+O342+O343+O344+O345+O346</f>
        <v>0</v>
      </c>
    </row>
    <row r="348" spans="2:15" ht="14" customHeight="1" thickTop="1" thickBot="1" x14ac:dyDescent="0.2">
      <c r="B348" s="124" t="s">
        <v>2</v>
      </c>
      <c r="C348" s="125" t="str">
        <f>+'Calendrier 2021'!C46</f>
        <v>Mercredi</v>
      </c>
      <c r="D348" s="80" t="s">
        <v>2</v>
      </c>
      <c r="E348" s="80" t="s">
        <v>2</v>
      </c>
      <c r="F348" s="80" t="s">
        <v>2</v>
      </c>
      <c r="G348" s="80" t="s">
        <v>2</v>
      </c>
      <c r="H348" s="80" t="s">
        <v>2</v>
      </c>
      <c r="I348" s="80" t="s">
        <v>2</v>
      </c>
      <c r="J348" s="80" t="s">
        <v>2</v>
      </c>
      <c r="K348" s="80" t="s">
        <v>2</v>
      </c>
      <c r="L348" s="80" t="s">
        <v>2</v>
      </c>
      <c r="M348" s="80" t="s">
        <v>2</v>
      </c>
      <c r="N348" s="80" t="s">
        <v>2</v>
      </c>
      <c r="O348" s="81" t="s">
        <v>2</v>
      </c>
    </row>
    <row r="349" spans="2:15" ht="14" customHeight="1" thickTop="1" thickBot="1" x14ac:dyDescent="0.2">
      <c r="B349" s="18">
        <v>1</v>
      </c>
      <c r="C349" s="100" t="str">
        <f t="shared" ref="C349:C355" si="100">C340</f>
        <v>6 h à 9 h 30</v>
      </c>
      <c r="D349" s="12">
        <v>0</v>
      </c>
      <c r="E349" s="12">
        <v>0</v>
      </c>
      <c r="F349" s="12">
        <v>0</v>
      </c>
      <c r="G349" s="12">
        <v>0</v>
      </c>
      <c r="H349" s="12">
        <v>0</v>
      </c>
      <c r="I349" s="12">
        <v>0</v>
      </c>
      <c r="J349" s="12">
        <v>0</v>
      </c>
      <c r="K349" s="12">
        <v>0</v>
      </c>
      <c r="L349" s="12">
        <v>0</v>
      </c>
      <c r="M349" s="12">
        <v>0</v>
      </c>
      <c r="N349" s="12">
        <v>0</v>
      </c>
      <c r="O349" s="12">
        <v>0</v>
      </c>
    </row>
    <row r="350" spans="2:15" ht="14" customHeight="1" thickTop="1" thickBot="1" x14ac:dyDescent="0.2">
      <c r="B350" s="121">
        <v>2</v>
      </c>
      <c r="C350" s="102" t="str">
        <f t="shared" si="100"/>
        <v>9 h 30 à 11 h 30</v>
      </c>
      <c r="D350" s="14">
        <v>0</v>
      </c>
      <c r="E350" s="14">
        <v>0</v>
      </c>
      <c r="F350" s="14">
        <v>0</v>
      </c>
      <c r="G350" s="14">
        <v>0</v>
      </c>
      <c r="H350" s="14">
        <v>0</v>
      </c>
      <c r="I350" s="14">
        <v>0</v>
      </c>
      <c r="J350" s="14">
        <v>0</v>
      </c>
      <c r="K350" s="14">
        <v>0</v>
      </c>
      <c r="L350" s="14">
        <v>0</v>
      </c>
      <c r="M350" s="14">
        <v>0</v>
      </c>
      <c r="N350" s="14">
        <v>0</v>
      </c>
      <c r="O350" s="14">
        <v>0</v>
      </c>
    </row>
    <row r="351" spans="2:15" ht="14" customHeight="1" thickTop="1" thickBot="1" x14ac:dyDescent="0.2">
      <c r="B351" s="121">
        <v>3</v>
      </c>
      <c r="C351" s="102" t="str">
        <f t="shared" si="100"/>
        <v>11 h 30 à 14 h 30</v>
      </c>
      <c r="D351" s="14">
        <v>0</v>
      </c>
      <c r="E351" s="14">
        <v>0</v>
      </c>
      <c r="F351" s="14">
        <v>0</v>
      </c>
      <c r="G351" s="14">
        <v>0</v>
      </c>
      <c r="H351" s="14">
        <v>0</v>
      </c>
      <c r="I351" s="14">
        <v>0</v>
      </c>
      <c r="J351" s="14">
        <v>0</v>
      </c>
      <c r="K351" s="14">
        <v>0</v>
      </c>
      <c r="L351" s="14">
        <v>0</v>
      </c>
      <c r="M351" s="14">
        <v>0</v>
      </c>
      <c r="N351" s="14">
        <v>0</v>
      </c>
      <c r="O351" s="14">
        <v>0</v>
      </c>
    </row>
    <row r="352" spans="2:15" ht="14" customHeight="1" thickTop="1" thickBot="1" x14ac:dyDescent="0.2">
      <c r="B352" s="121">
        <v>4</v>
      </c>
      <c r="C352" s="102" t="str">
        <f t="shared" si="100"/>
        <v>14 h 30 à 17 h</v>
      </c>
      <c r="D352" s="14">
        <v>0</v>
      </c>
      <c r="E352" s="14">
        <v>0</v>
      </c>
      <c r="F352" s="14">
        <v>0</v>
      </c>
      <c r="G352" s="14">
        <v>0</v>
      </c>
      <c r="H352" s="14">
        <v>0</v>
      </c>
      <c r="I352" s="14">
        <v>0</v>
      </c>
      <c r="J352" s="14">
        <v>0</v>
      </c>
      <c r="K352" s="14">
        <v>0</v>
      </c>
      <c r="L352" s="14">
        <v>0</v>
      </c>
      <c r="M352" s="14">
        <v>0</v>
      </c>
      <c r="N352" s="14">
        <v>0</v>
      </c>
      <c r="O352" s="14">
        <v>0</v>
      </c>
    </row>
    <row r="353" spans="2:15" ht="14" customHeight="1" thickTop="1" thickBot="1" x14ac:dyDescent="0.2">
      <c r="B353" s="121">
        <v>5</v>
      </c>
      <c r="C353" s="102" t="str">
        <f t="shared" si="100"/>
        <v>17 h à 19 h</v>
      </c>
      <c r="D353" s="14">
        <v>0</v>
      </c>
      <c r="E353" s="14">
        <v>0</v>
      </c>
      <c r="F353" s="14">
        <v>0</v>
      </c>
      <c r="G353" s="14">
        <v>0</v>
      </c>
      <c r="H353" s="14">
        <v>0</v>
      </c>
      <c r="I353" s="14">
        <v>0</v>
      </c>
      <c r="J353" s="14">
        <v>0</v>
      </c>
      <c r="K353" s="14">
        <v>0</v>
      </c>
      <c r="L353" s="14">
        <v>0</v>
      </c>
      <c r="M353" s="14">
        <v>0</v>
      </c>
      <c r="N353" s="14">
        <v>0</v>
      </c>
      <c r="O353" s="14">
        <v>0</v>
      </c>
    </row>
    <row r="354" spans="2:15" ht="14" customHeight="1" thickTop="1" thickBot="1" x14ac:dyDescent="0.2">
      <c r="B354" s="121">
        <v>6</v>
      </c>
      <c r="C354" s="102" t="str">
        <f t="shared" si="100"/>
        <v>19 h à 23 h</v>
      </c>
      <c r="D354" s="14">
        <v>0</v>
      </c>
      <c r="E354" s="14">
        <v>0</v>
      </c>
      <c r="F354" s="14">
        <v>0</v>
      </c>
      <c r="G354" s="14">
        <v>0</v>
      </c>
      <c r="H354" s="14">
        <v>0</v>
      </c>
      <c r="I354" s="14">
        <v>0</v>
      </c>
      <c r="J354" s="14">
        <v>0</v>
      </c>
      <c r="K354" s="14">
        <v>0</v>
      </c>
      <c r="L354" s="14">
        <v>0</v>
      </c>
      <c r="M354" s="14">
        <v>0</v>
      </c>
      <c r="N354" s="14">
        <v>0</v>
      </c>
      <c r="O354" s="14">
        <v>0</v>
      </c>
    </row>
    <row r="355" spans="2:15" ht="14" customHeight="1" thickTop="1" thickBot="1" x14ac:dyDescent="0.2">
      <c r="B355" s="121">
        <v>7</v>
      </c>
      <c r="C355" s="102" t="str">
        <f t="shared" si="100"/>
        <v>23 h à 6 h</v>
      </c>
      <c r="D355" s="14">
        <v>0</v>
      </c>
      <c r="E355" s="14">
        <v>0</v>
      </c>
      <c r="F355" s="14">
        <v>0</v>
      </c>
      <c r="G355" s="14">
        <v>0</v>
      </c>
      <c r="H355" s="14">
        <v>0</v>
      </c>
      <c r="I355" s="14">
        <v>0</v>
      </c>
      <c r="J355" s="14">
        <v>0</v>
      </c>
      <c r="K355" s="14">
        <v>0</v>
      </c>
      <c r="L355" s="14">
        <v>0</v>
      </c>
      <c r="M355" s="14">
        <v>0</v>
      </c>
      <c r="N355" s="14">
        <v>0</v>
      </c>
      <c r="O355" s="14">
        <v>0</v>
      </c>
    </row>
    <row r="356" spans="2:15" ht="14" customHeight="1" thickTop="1" thickBot="1" x14ac:dyDescent="0.2">
      <c r="B356" s="19"/>
      <c r="C356" s="21" t="str">
        <f t="shared" ref="C356" si="101">+C338</f>
        <v>Total</v>
      </c>
      <c r="D356" s="126">
        <f t="shared" ref="D356:O356" si="102">+D349+D350+D351+D352+D353+D354+D355</f>
        <v>0</v>
      </c>
      <c r="E356" s="126">
        <f t="shared" si="102"/>
        <v>0</v>
      </c>
      <c r="F356" s="126">
        <f t="shared" si="102"/>
        <v>0</v>
      </c>
      <c r="G356" s="126">
        <f>+G349+G350+G351+G352+G353+G354+G355</f>
        <v>0</v>
      </c>
      <c r="H356" s="126">
        <f>+H349+H350+H351+H352+H353+H354+H355</f>
        <v>0</v>
      </c>
      <c r="I356" s="126">
        <f t="shared" si="102"/>
        <v>0</v>
      </c>
      <c r="J356" s="126">
        <f>+J349+J350+J351+J352+J353+J354+J355</f>
        <v>0</v>
      </c>
      <c r="K356" s="126">
        <f t="shared" si="102"/>
        <v>0</v>
      </c>
      <c r="L356" s="126">
        <f t="shared" si="102"/>
        <v>0</v>
      </c>
      <c r="M356" s="126">
        <f t="shared" si="102"/>
        <v>0</v>
      </c>
      <c r="N356" s="126">
        <f t="shared" si="102"/>
        <v>0</v>
      </c>
      <c r="O356" s="126">
        <f t="shared" si="102"/>
        <v>0</v>
      </c>
    </row>
    <row r="357" spans="2:15" ht="14" customHeight="1" thickTop="1" thickBot="1" x14ac:dyDescent="0.2">
      <c r="B357" s="124" t="s">
        <v>2</v>
      </c>
      <c r="C357" s="125" t="str">
        <f>+'Calendrier 2021'!C47</f>
        <v>Jeudi</v>
      </c>
      <c r="D357" s="80" t="s">
        <v>2</v>
      </c>
      <c r="E357" s="80" t="s">
        <v>2</v>
      </c>
      <c r="F357" s="80" t="s">
        <v>2</v>
      </c>
      <c r="G357" s="80" t="s">
        <v>2</v>
      </c>
      <c r="H357" s="80" t="s">
        <v>2</v>
      </c>
      <c r="I357" s="80" t="s">
        <v>2</v>
      </c>
      <c r="J357" s="80" t="s">
        <v>2</v>
      </c>
      <c r="K357" s="80" t="s">
        <v>2</v>
      </c>
      <c r="L357" s="80" t="s">
        <v>2</v>
      </c>
      <c r="M357" s="80" t="s">
        <v>2</v>
      </c>
      <c r="N357" s="80" t="s">
        <v>2</v>
      </c>
      <c r="O357" s="81" t="s">
        <v>2</v>
      </c>
    </row>
    <row r="358" spans="2:15" ht="14" customHeight="1" thickTop="1" thickBot="1" x14ac:dyDescent="0.2">
      <c r="B358" s="18">
        <v>1</v>
      </c>
      <c r="C358" s="100" t="str">
        <f t="shared" ref="C358:C364" si="103">C349</f>
        <v>6 h à 9 h 30</v>
      </c>
      <c r="D358" s="12">
        <v>0</v>
      </c>
      <c r="E358" s="12">
        <v>0</v>
      </c>
      <c r="F358" s="12">
        <v>0</v>
      </c>
      <c r="G358" s="12">
        <v>0</v>
      </c>
      <c r="H358" s="12">
        <v>0</v>
      </c>
      <c r="I358" s="12">
        <v>0</v>
      </c>
      <c r="J358" s="12">
        <v>0</v>
      </c>
      <c r="K358" s="12">
        <v>0</v>
      </c>
      <c r="L358" s="12">
        <v>0</v>
      </c>
      <c r="M358" s="12">
        <v>0</v>
      </c>
      <c r="N358" s="12">
        <v>0</v>
      </c>
      <c r="O358" s="12">
        <v>0</v>
      </c>
    </row>
    <row r="359" spans="2:15" ht="14" customHeight="1" thickTop="1" thickBot="1" x14ac:dyDescent="0.2">
      <c r="B359" s="121">
        <v>2</v>
      </c>
      <c r="C359" s="102" t="str">
        <f t="shared" si="103"/>
        <v>9 h 30 à 11 h 30</v>
      </c>
      <c r="D359" s="14">
        <v>0</v>
      </c>
      <c r="E359" s="14">
        <v>0</v>
      </c>
      <c r="F359" s="14">
        <v>0</v>
      </c>
      <c r="G359" s="14">
        <v>0</v>
      </c>
      <c r="H359" s="14">
        <v>0</v>
      </c>
      <c r="I359" s="14">
        <v>0</v>
      </c>
      <c r="J359" s="14">
        <v>0</v>
      </c>
      <c r="K359" s="14">
        <v>0</v>
      </c>
      <c r="L359" s="14">
        <v>0</v>
      </c>
      <c r="M359" s="14">
        <v>0</v>
      </c>
      <c r="N359" s="14">
        <v>0</v>
      </c>
      <c r="O359" s="14">
        <v>0</v>
      </c>
    </row>
    <row r="360" spans="2:15" ht="14" customHeight="1" thickTop="1" thickBot="1" x14ac:dyDescent="0.2">
      <c r="B360" s="121">
        <v>3</v>
      </c>
      <c r="C360" s="102" t="str">
        <f t="shared" si="103"/>
        <v>11 h 30 à 14 h 30</v>
      </c>
      <c r="D360" s="14">
        <v>0</v>
      </c>
      <c r="E360" s="14">
        <v>0</v>
      </c>
      <c r="F360" s="14">
        <v>0</v>
      </c>
      <c r="G360" s="14">
        <v>0</v>
      </c>
      <c r="H360" s="14">
        <v>0</v>
      </c>
      <c r="I360" s="14">
        <v>0</v>
      </c>
      <c r="J360" s="14">
        <v>0</v>
      </c>
      <c r="K360" s="14">
        <v>0</v>
      </c>
      <c r="L360" s="14">
        <v>0</v>
      </c>
      <c r="M360" s="14">
        <v>0</v>
      </c>
      <c r="N360" s="14">
        <v>0</v>
      </c>
      <c r="O360" s="14">
        <v>0</v>
      </c>
    </row>
    <row r="361" spans="2:15" ht="14" customHeight="1" thickTop="1" thickBot="1" x14ac:dyDescent="0.2">
      <c r="B361" s="121">
        <v>4</v>
      </c>
      <c r="C361" s="102" t="str">
        <f t="shared" si="103"/>
        <v>14 h 30 à 17 h</v>
      </c>
      <c r="D361" s="14">
        <v>0</v>
      </c>
      <c r="E361" s="14">
        <v>0</v>
      </c>
      <c r="F361" s="14">
        <v>0</v>
      </c>
      <c r="G361" s="14">
        <v>0</v>
      </c>
      <c r="H361" s="14">
        <v>0</v>
      </c>
      <c r="I361" s="14">
        <v>0</v>
      </c>
      <c r="J361" s="14">
        <v>0</v>
      </c>
      <c r="K361" s="14">
        <v>0</v>
      </c>
      <c r="L361" s="14">
        <v>0</v>
      </c>
      <c r="M361" s="14">
        <v>0</v>
      </c>
      <c r="N361" s="14">
        <v>0</v>
      </c>
      <c r="O361" s="14">
        <v>0</v>
      </c>
    </row>
    <row r="362" spans="2:15" ht="14" customHeight="1" thickTop="1" thickBot="1" x14ac:dyDescent="0.2">
      <c r="B362" s="121">
        <v>5</v>
      </c>
      <c r="C362" s="102" t="str">
        <f t="shared" si="103"/>
        <v>17 h à 19 h</v>
      </c>
      <c r="D362" s="14">
        <v>0</v>
      </c>
      <c r="E362" s="14">
        <v>0</v>
      </c>
      <c r="F362" s="14">
        <v>0</v>
      </c>
      <c r="G362" s="14">
        <v>0</v>
      </c>
      <c r="H362" s="14">
        <v>0</v>
      </c>
      <c r="I362" s="14">
        <v>0</v>
      </c>
      <c r="J362" s="14">
        <v>0</v>
      </c>
      <c r="K362" s="14">
        <v>0</v>
      </c>
      <c r="L362" s="14">
        <v>0</v>
      </c>
      <c r="M362" s="14">
        <v>0</v>
      </c>
      <c r="N362" s="14">
        <v>0</v>
      </c>
      <c r="O362" s="14">
        <v>0</v>
      </c>
    </row>
    <row r="363" spans="2:15" ht="14" customHeight="1" thickTop="1" thickBot="1" x14ac:dyDescent="0.2">
      <c r="B363" s="121">
        <v>6</v>
      </c>
      <c r="C363" s="102" t="str">
        <f t="shared" si="103"/>
        <v>19 h à 23 h</v>
      </c>
      <c r="D363" s="14">
        <v>0</v>
      </c>
      <c r="E363" s="14">
        <v>0</v>
      </c>
      <c r="F363" s="14">
        <v>0</v>
      </c>
      <c r="G363" s="14">
        <v>0</v>
      </c>
      <c r="H363" s="14">
        <v>0</v>
      </c>
      <c r="I363" s="14">
        <v>0</v>
      </c>
      <c r="J363" s="14">
        <v>0</v>
      </c>
      <c r="K363" s="14">
        <v>0</v>
      </c>
      <c r="L363" s="14">
        <v>0</v>
      </c>
      <c r="M363" s="14">
        <v>0</v>
      </c>
      <c r="N363" s="14">
        <v>0</v>
      </c>
      <c r="O363" s="14">
        <v>0</v>
      </c>
    </row>
    <row r="364" spans="2:15" ht="14" customHeight="1" thickTop="1" thickBot="1" x14ac:dyDescent="0.2">
      <c r="B364" s="121">
        <v>7</v>
      </c>
      <c r="C364" s="102" t="str">
        <f t="shared" si="103"/>
        <v>23 h à 6 h</v>
      </c>
      <c r="D364" s="14">
        <v>0</v>
      </c>
      <c r="E364" s="14">
        <v>0</v>
      </c>
      <c r="F364" s="14">
        <v>0</v>
      </c>
      <c r="G364" s="14">
        <v>0</v>
      </c>
      <c r="H364" s="14">
        <v>0</v>
      </c>
      <c r="I364" s="14">
        <v>0</v>
      </c>
      <c r="J364" s="14">
        <v>0</v>
      </c>
      <c r="K364" s="14">
        <v>0</v>
      </c>
      <c r="L364" s="14">
        <v>0</v>
      </c>
      <c r="M364" s="14">
        <v>0</v>
      </c>
      <c r="N364" s="14">
        <v>0</v>
      </c>
      <c r="O364" s="14">
        <v>0</v>
      </c>
    </row>
    <row r="365" spans="2:15" ht="14" customHeight="1" thickTop="1" thickBot="1" x14ac:dyDescent="0.2">
      <c r="B365" s="19"/>
      <c r="C365" s="21" t="str">
        <f>+C356</f>
        <v>Total</v>
      </c>
      <c r="D365" s="126">
        <f>+D358+D359+D360+D361+D362+D363+D364</f>
        <v>0</v>
      </c>
      <c r="E365" s="126">
        <f t="shared" ref="E365:O365" si="104">+E358+E359+E360+E361+E362+E363+E364</f>
        <v>0</v>
      </c>
      <c r="F365" s="126">
        <f t="shared" si="104"/>
        <v>0</v>
      </c>
      <c r="G365" s="126">
        <f>+G358+G359+G360+G361+G362+G363+G364</f>
        <v>0</v>
      </c>
      <c r="H365" s="126">
        <f t="shared" si="104"/>
        <v>0</v>
      </c>
      <c r="I365" s="126">
        <f t="shared" si="104"/>
        <v>0</v>
      </c>
      <c r="J365" s="126">
        <f t="shared" si="104"/>
        <v>0</v>
      </c>
      <c r="K365" s="126">
        <f t="shared" si="104"/>
        <v>0</v>
      </c>
      <c r="L365" s="126">
        <f t="shared" si="104"/>
        <v>0</v>
      </c>
      <c r="M365" s="126">
        <f t="shared" si="104"/>
        <v>0</v>
      </c>
      <c r="N365" s="126">
        <f t="shared" si="104"/>
        <v>0</v>
      </c>
      <c r="O365" s="126">
        <f t="shared" si="104"/>
        <v>0</v>
      </c>
    </row>
    <row r="366" spans="2:15" ht="14" customHeight="1" thickTop="1" thickBot="1" x14ac:dyDescent="0.2">
      <c r="B366" s="124" t="s">
        <v>2</v>
      </c>
      <c r="C366" s="125" t="str">
        <f>+'Calendrier 2021'!C48</f>
        <v>Vendredi</v>
      </c>
      <c r="D366" s="80" t="s">
        <v>2</v>
      </c>
      <c r="E366" s="80" t="s">
        <v>2</v>
      </c>
      <c r="F366" s="80" t="s">
        <v>2</v>
      </c>
      <c r="G366" s="80" t="s">
        <v>2</v>
      </c>
      <c r="H366" s="80" t="s">
        <v>2</v>
      </c>
      <c r="I366" s="80" t="s">
        <v>2</v>
      </c>
      <c r="J366" s="80" t="s">
        <v>2</v>
      </c>
      <c r="K366" s="80" t="s">
        <v>2</v>
      </c>
      <c r="L366" s="80" t="s">
        <v>2</v>
      </c>
      <c r="M366" s="80" t="s">
        <v>2</v>
      </c>
      <c r="N366" s="80" t="s">
        <v>2</v>
      </c>
      <c r="O366" s="81" t="s">
        <v>2</v>
      </c>
    </row>
    <row r="367" spans="2:15" ht="14" customHeight="1" thickTop="1" thickBot="1" x14ac:dyDescent="0.2">
      <c r="B367" s="18">
        <v>1</v>
      </c>
      <c r="C367" s="100" t="str">
        <f t="shared" ref="C367:C373" si="105">C358</f>
        <v>6 h à 9 h 30</v>
      </c>
      <c r="D367" s="12">
        <v>0</v>
      </c>
      <c r="E367" s="12">
        <v>0</v>
      </c>
      <c r="F367" s="12">
        <v>0</v>
      </c>
      <c r="G367" s="12">
        <v>0</v>
      </c>
      <c r="H367" s="12">
        <v>0</v>
      </c>
      <c r="I367" s="12">
        <v>0</v>
      </c>
      <c r="J367" s="12">
        <v>0</v>
      </c>
      <c r="K367" s="12">
        <v>0</v>
      </c>
      <c r="L367" s="12">
        <v>0</v>
      </c>
      <c r="M367" s="12">
        <v>0</v>
      </c>
      <c r="N367" s="12">
        <v>0</v>
      </c>
      <c r="O367" s="12">
        <v>0</v>
      </c>
    </row>
    <row r="368" spans="2:15" ht="14" customHeight="1" thickTop="1" thickBot="1" x14ac:dyDescent="0.2">
      <c r="B368" s="121">
        <v>2</v>
      </c>
      <c r="C368" s="102" t="str">
        <f t="shared" si="105"/>
        <v>9 h 30 à 11 h 30</v>
      </c>
      <c r="D368" s="14">
        <v>0</v>
      </c>
      <c r="E368" s="14">
        <v>0</v>
      </c>
      <c r="F368" s="14">
        <v>0</v>
      </c>
      <c r="G368" s="14">
        <v>0</v>
      </c>
      <c r="H368" s="14">
        <v>0</v>
      </c>
      <c r="I368" s="14">
        <v>0</v>
      </c>
      <c r="J368" s="14">
        <v>0</v>
      </c>
      <c r="K368" s="14">
        <v>0</v>
      </c>
      <c r="L368" s="14">
        <v>0</v>
      </c>
      <c r="M368" s="14">
        <v>0</v>
      </c>
      <c r="N368" s="14">
        <v>0</v>
      </c>
      <c r="O368" s="14">
        <v>0</v>
      </c>
    </row>
    <row r="369" spans="2:15" ht="14" customHeight="1" thickTop="1" thickBot="1" x14ac:dyDescent="0.2">
      <c r="B369" s="121">
        <v>3</v>
      </c>
      <c r="C369" s="102" t="str">
        <f t="shared" si="105"/>
        <v>11 h 30 à 14 h 30</v>
      </c>
      <c r="D369" s="14">
        <v>0</v>
      </c>
      <c r="E369" s="14">
        <v>0</v>
      </c>
      <c r="F369" s="14">
        <v>0</v>
      </c>
      <c r="G369" s="14">
        <v>0</v>
      </c>
      <c r="H369" s="14">
        <v>0</v>
      </c>
      <c r="I369" s="14">
        <v>0</v>
      </c>
      <c r="J369" s="14">
        <v>0</v>
      </c>
      <c r="K369" s="14">
        <v>0</v>
      </c>
      <c r="L369" s="14">
        <v>0</v>
      </c>
      <c r="M369" s="14">
        <v>0</v>
      </c>
      <c r="N369" s="14">
        <v>0</v>
      </c>
      <c r="O369" s="14">
        <v>0</v>
      </c>
    </row>
    <row r="370" spans="2:15" ht="14" customHeight="1" thickTop="1" thickBot="1" x14ac:dyDescent="0.2">
      <c r="B370" s="121">
        <v>4</v>
      </c>
      <c r="C370" s="102" t="str">
        <f t="shared" si="105"/>
        <v>14 h 30 à 17 h</v>
      </c>
      <c r="D370" s="14">
        <v>0</v>
      </c>
      <c r="E370" s="14">
        <v>0</v>
      </c>
      <c r="F370" s="14">
        <v>0</v>
      </c>
      <c r="G370" s="14">
        <v>0</v>
      </c>
      <c r="H370" s="14">
        <v>0</v>
      </c>
      <c r="I370" s="14">
        <v>0</v>
      </c>
      <c r="J370" s="14">
        <v>0</v>
      </c>
      <c r="K370" s="14">
        <v>0</v>
      </c>
      <c r="L370" s="14">
        <v>0</v>
      </c>
      <c r="M370" s="14">
        <v>0</v>
      </c>
      <c r="N370" s="14">
        <v>0</v>
      </c>
      <c r="O370" s="14">
        <v>0</v>
      </c>
    </row>
    <row r="371" spans="2:15" ht="14" customHeight="1" thickTop="1" thickBot="1" x14ac:dyDescent="0.2">
      <c r="B371" s="121">
        <v>5</v>
      </c>
      <c r="C371" s="102" t="str">
        <f t="shared" si="105"/>
        <v>17 h à 19 h</v>
      </c>
      <c r="D371" s="14">
        <v>0</v>
      </c>
      <c r="E371" s="14">
        <v>0</v>
      </c>
      <c r="F371" s="14">
        <v>0</v>
      </c>
      <c r="G371" s="14">
        <v>0</v>
      </c>
      <c r="H371" s="14">
        <v>0</v>
      </c>
      <c r="I371" s="14">
        <v>0</v>
      </c>
      <c r="J371" s="14">
        <v>0</v>
      </c>
      <c r="K371" s="14">
        <v>0</v>
      </c>
      <c r="L371" s="14">
        <v>0</v>
      </c>
      <c r="M371" s="14">
        <v>0</v>
      </c>
      <c r="N371" s="14">
        <v>0</v>
      </c>
      <c r="O371" s="14">
        <v>0</v>
      </c>
    </row>
    <row r="372" spans="2:15" ht="14" customHeight="1" thickTop="1" thickBot="1" x14ac:dyDescent="0.2">
      <c r="B372" s="121">
        <v>6</v>
      </c>
      <c r="C372" s="102" t="str">
        <f t="shared" si="105"/>
        <v>19 h à 23 h</v>
      </c>
      <c r="D372" s="14">
        <v>0</v>
      </c>
      <c r="E372" s="14">
        <v>0</v>
      </c>
      <c r="F372" s="14">
        <v>0</v>
      </c>
      <c r="G372" s="14">
        <v>0</v>
      </c>
      <c r="H372" s="14">
        <v>0</v>
      </c>
      <c r="I372" s="14">
        <v>0</v>
      </c>
      <c r="J372" s="14">
        <v>0</v>
      </c>
      <c r="K372" s="14">
        <v>0</v>
      </c>
      <c r="L372" s="14">
        <v>0</v>
      </c>
      <c r="M372" s="14">
        <v>0</v>
      </c>
      <c r="N372" s="14">
        <v>0</v>
      </c>
      <c r="O372" s="14">
        <v>0</v>
      </c>
    </row>
    <row r="373" spans="2:15" ht="14" customHeight="1" thickTop="1" thickBot="1" x14ac:dyDescent="0.2">
      <c r="B373" s="121">
        <v>7</v>
      </c>
      <c r="C373" s="102" t="str">
        <f t="shared" si="105"/>
        <v>23 h à 6 h</v>
      </c>
      <c r="D373" s="14">
        <v>0</v>
      </c>
      <c r="E373" s="14">
        <v>0</v>
      </c>
      <c r="F373" s="14">
        <v>0</v>
      </c>
      <c r="G373" s="14">
        <v>0</v>
      </c>
      <c r="H373" s="14">
        <v>0</v>
      </c>
      <c r="I373" s="14">
        <v>0</v>
      </c>
      <c r="J373" s="14">
        <v>0</v>
      </c>
      <c r="K373" s="14">
        <v>0</v>
      </c>
      <c r="L373" s="14">
        <v>0</v>
      </c>
      <c r="M373" s="14">
        <v>0</v>
      </c>
      <c r="N373" s="14">
        <v>0</v>
      </c>
      <c r="O373" s="14">
        <v>0</v>
      </c>
    </row>
    <row r="374" spans="2:15" ht="14" customHeight="1" thickTop="1" thickBot="1" x14ac:dyDescent="0.2">
      <c r="B374" s="19"/>
      <c r="C374" s="21" t="str">
        <f t="shared" ref="C374" si="106">+C365</f>
        <v>Total</v>
      </c>
      <c r="D374" s="126">
        <f>+D367+D368+D369+D370+D371+D372+D373</f>
        <v>0</v>
      </c>
      <c r="E374" s="126">
        <f>+E367+E368+E369+E370+E371+E372+E373</f>
        <v>0</v>
      </c>
      <c r="F374" s="59">
        <f t="shared" ref="F374:L374" si="107">+F367+F368+F369+F370+F371+F372+F373</f>
        <v>0</v>
      </c>
      <c r="G374" s="59">
        <f t="shared" si="107"/>
        <v>0</v>
      </c>
      <c r="H374" s="59">
        <f t="shared" si="107"/>
        <v>0</v>
      </c>
      <c r="I374" s="59">
        <f t="shared" si="107"/>
        <v>0</v>
      </c>
      <c r="J374" s="59">
        <f t="shared" si="107"/>
        <v>0</v>
      </c>
      <c r="K374" s="59">
        <f t="shared" si="107"/>
        <v>0</v>
      </c>
      <c r="L374" s="59">
        <f t="shared" si="107"/>
        <v>0</v>
      </c>
      <c r="M374" s="59">
        <f>+M367+M368+M369+M370+M371+M372+M373</f>
        <v>0</v>
      </c>
      <c r="N374" s="59">
        <f>+N367+N368+N369+N370+N371+N372+N373</f>
        <v>0</v>
      </c>
      <c r="O374" s="59">
        <f>+O367+O368+O369+O370+O371+O372+O373</f>
        <v>0</v>
      </c>
    </row>
    <row r="375" spans="2:15" ht="14" customHeight="1" thickTop="1" thickBot="1" x14ac:dyDescent="0.2">
      <c r="B375" s="124" t="s">
        <v>2</v>
      </c>
      <c r="C375" s="125" t="str">
        <f>+'Calendrier 2021'!C49</f>
        <v>Samedi</v>
      </c>
      <c r="D375" s="80" t="s">
        <v>2</v>
      </c>
      <c r="E375" s="80" t="s">
        <v>2</v>
      </c>
      <c r="F375" s="80" t="s">
        <v>2</v>
      </c>
      <c r="G375" s="80" t="s">
        <v>2</v>
      </c>
      <c r="H375" s="80" t="s">
        <v>2</v>
      </c>
      <c r="I375" s="80" t="s">
        <v>2</v>
      </c>
      <c r="J375" s="80" t="s">
        <v>2</v>
      </c>
      <c r="K375" s="80" t="s">
        <v>2</v>
      </c>
      <c r="L375" s="80" t="s">
        <v>2</v>
      </c>
      <c r="M375" s="80" t="s">
        <v>2</v>
      </c>
      <c r="N375" s="80" t="s">
        <v>2</v>
      </c>
      <c r="O375" s="81" t="s">
        <v>2</v>
      </c>
    </row>
    <row r="376" spans="2:15" ht="14" customHeight="1" thickTop="1" thickBot="1" x14ac:dyDescent="0.2">
      <c r="B376" s="18">
        <v>1</v>
      </c>
      <c r="C376" s="100" t="str">
        <f t="shared" ref="C376:C382" si="108">C367</f>
        <v>6 h à 9 h 30</v>
      </c>
      <c r="D376" s="12">
        <v>0</v>
      </c>
      <c r="E376" s="12">
        <v>0</v>
      </c>
      <c r="F376" s="12">
        <v>0</v>
      </c>
      <c r="G376" s="12">
        <v>0</v>
      </c>
      <c r="H376" s="12">
        <v>0</v>
      </c>
      <c r="I376" s="12">
        <v>0</v>
      </c>
      <c r="J376" s="12">
        <v>0</v>
      </c>
      <c r="K376" s="12">
        <v>0</v>
      </c>
      <c r="L376" s="12">
        <v>0</v>
      </c>
      <c r="M376" s="12">
        <v>0</v>
      </c>
      <c r="N376" s="12">
        <v>0</v>
      </c>
      <c r="O376" s="12">
        <v>0</v>
      </c>
    </row>
    <row r="377" spans="2:15" ht="14" customHeight="1" thickTop="1" thickBot="1" x14ac:dyDescent="0.2">
      <c r="B377" s="18">
        <v>2</v>
      </c>
      <c r="C377" s="102" t="str">
        <f t="shared" si="108"/>
        <v>9 h 30 à 11 h 30</v>
      </c>
      <c r="D377" s="14">
        <v>0</v>
      </c>
      <c r="E377" s="14">
        <v>0</v>
      </c>
      <c r="F377" s="14">
        <v>0</v>
      </c>
      <c r="G377" s="14">
        <v>0</v>
      </c>
      <c r="H377" s="14">
        <v>0</v>
      </c>
      <c r="I377" s="14">
        <v>0</v>
      </c>
      <c r="J377" s="14">
        <v>0</v>
      </c>
      <c r="K377" s="14">
        <v>0</v>
      </c>
      <c r="L377" s="14">
        <v>0</v>
      </c>
      <c r="M377" s="14">
        <v>0</v>
      </c>
      <c r="N377" s="14">
        <v>0</v>
      </c>
      <c r="O377" s="14">
        <v>0</v>
      </c>
    </row>
    <row r="378" spans="2:15" ht="14" customHeight="1" thickTop="1" thickBot="1" x14ac:dyDescent="0.2">
      <c r="B378" s="18">
        <v>3</v>
      </c>
      <c r="C378" s="102" t="str">
        <f t="shared" si="108"/>
        <v>11 h 30 à 14 h 30</v>
      </c>
      <c r="D378" s="14">
        <v>0</v>
      </c>
      <c r="E378" s="14">
        <v>0</v>
      </c>
      <c r="F378" s="14">
        <v>0</v>
      </c>
      <c r="G378" s="14">
        <v>0</v>
      </c>
      <c r="H378" s="14">
        <v>0</v>
      </c>
      <c r="I378" s="14">
        <v>0</v>
      </c>
      <c r="J378" s="14">
        <v>0</v>
      </c>
      <c r="K378" s="14">
        <v>0</v>
      </c>
      <c r="L378" s="14">
        <v>0</v>
      </c>
      <c r="M378" s="14">
        <v>0</v>
      </c>
      <c r="N378" s="14">
        <v>0</v>
      </c>
      <c r="O378" s="14">
        <v>0</v>
      </c>
    </row>
    <row r="379" spans="2:15" ht="14" customHeight="1" thickTop="1" thickBot="1" x14ac:dyDescent="0.2">
      <c r="B379" s="18">
        <v>4</v>
      </c>
      <c r="C379" s="102" t="str">
        <f t="shared" si="108"/>
        <v>14 h 30 à 17 h</v>
      </c>
      <c r="D379" s="14">
        <v>0</v>
      </c>
      <c r="E379" s="14">
        <v>0</v>
      </c>
      <c r="F379" s="14">
        <v>0</v>
      </c>
      <c r="G379" s="14">
        <v>0</v>
      </c>
      <c r="H379" s="14">
        <v>0</v>
      </c>
      <c r="I379" s="14">
        <v>0</v>
      </c>
      <c r="J379" s="14">
        <v>0</v>
      </c>
      <c r="K379" s="14">
        <v>0</v>
      </c>
      <c r="L379" s="14">
        <v>0</v>
      </c>
      <c r="M379" s="14">
        <v>0</v>
      </c>
      <c r="N379" s="14">
        <v>0</v>
      </c>
      <c r="O379" s="14">
        <v>0</v>
      </c>
    </row>
    <row r="380" spans="2:15" ht="14" customHeight="1" thickTop="1" thickBot="1" x14ac:dyDescent="0.2">
      <c r="B380" s="18">
        <v>5</v>
      </c>
      <c r="C380" s="102" t="str">
        <f t="shared" si="108"/>
        <v>17 h à 19 h</v>
      </c>
      <c r="D380" s="14">
        <v>0</v>
      </c>
      <c r="E380" s="14">
        <v>0</v>
      </c>
      <c r="F380" s="14">
        <v>0</v>
      </c>
      <c r="G380" s="14">
        <v>0</v>
      </c>
      <c r="H380" s="14">
        <v>0</v>
      </c>
      <c r="I380" s="14">
        <v>0</v>
      </c>
      <c r="J380" s="14">
        <v>0</v>
      </c>
      <c r="K380" s="14">
        <v>0</v>
      </c>
      <c r="L380" s="14">
        <v>0</v>
      </c>
      <c r="M380" s="14">
        <v>0</v>
      </c>
      <c r="N380" s="14">
        <v>0</v>
      </c>
      <c r="O380" s="14">
        <v>0</v>
      </c>
    </row>
    <row r="381" spans="2:15" ht="14" customHeight="1" thickTop="1" thickBot="1" x14ac:dyDescent="0.2">
      <c r="B381" s="18">
        <v>6</v>
      </c>
      <c r="C381" s="102" t="str">
        <f t="shared" si="108"/>
        <v>19 h à 23 h</v>
      </c>
      <c r="D381" s="14">
        <v>0</v>
      </c>
      <c r="E381" s="14">
        <v>0</v>
      </c>
      <c r="F381" s="14">
        <v>0</v>
      </c>
      <c r="G381" s="14">
        <v>0</v>
      </c>
      <c r="H381" s="14">
        <v>0</v>
      </c>
      <c r="I381" s="14">
        <v>0</v>
      </c>
      <c r="J381" s="14">
        <v>0</v>
      </c>
      <c r="K381" s="14">
        <v>0</v>
      </c>
      <c r="L381" s="14">
        <v>0</v>
      </c>
      <c r="M381" s="14">
        <v>0</v>
      </c>
      <c r="N381" s="14">
        <v>0</v>
      </c>
      <c r="O381" s="14">
        <v>0</v>
      </c>
    </row>
    <row r="382" spans="2:15" ht="14" customHeight="1" thickTop="1" thickBot="1" x14ac:dyDescent="0.2">
      <c r="B382" s="18">
        <v>7</v>
      </c>
      <c r="C382" s="102" t="str">
        <f t="shared" si="108"/>
        <v>23 h à 6 h</v>
      </c>
      <c r="D382" s="14">
        <v>0</v>
      </c>
      <c r="E382" s="14">
        <v>0</v>
      </c>
      <c r="F382" s="14">
        <v>0</v>
      </c>
      <c r="G382" s="14">
        <v>0</v>
      </c>
      <c r="H382" s="14">
        <v>0</v>
      </c>
      <c r="I382" s="14">
        <v>0</v>
      </c>
      <c r="J382" s="14">
        <v>0</v>
      </c>
      <c r="K382" s="14">
        <v>0</v>
      </c>
      <c r="L382" s="14">
        <v>0</v>
      </c>
      <c r="M382" s="14">
        <v>0</v>
      </c>
      <c r="N382" s="14">
        <v>0</v>
      </c>
      <c r="O382" s="14">
        <v>0</v>
      </c>
    </row>
    <row r="383" spans="2:15" ht="14" customHeight="1" thickTop="1" thickBot="1" x14ac:dyDescent="0.2">
      <c r="B383" s="19"/>
      <c r="C383" s="21" t="str">
        <f t="shared" ref="C383" si="109">+C374</f>
        <v>Total</v>
      </c>
      <c r="D383" s="126">
        <f>+D376+D377+D378+D379+D380+D381+D382</f>
        <v>0</v>
      </c>
      <c r="E383" s="126">
        <f>+E376+E377+E378+E379+E380+E381+E382</f>
        <v>0</v>
      </c>
      <c r="F383" s="59">
        <f t="shared" ref="F383:L383" si="110">+F376+F377+F378+F379+F380+F381+F382</f>
        <v>0</v>
      </c>
      <c r="G383" s="59">
        <f t="shared" si="110"/>
        <v>0</v>
      </c>
      <c r="H383" s="59">
        <f t="shared" si="110"/>
        <v>0</v>
      </c>
      <c r="I383" s="59">
        <f t="shared" si="110"/>
        <v>0</v>
      </c>
      <c r="J383" s="59">
        <f t="shared" si="110"/>
        <v>0</v>
      </c>
      <c r="K383" s="59">
        <f t="shared" si="110"/>
        <v>0</v>
      </c>
      <c r="L383" s="59">
        <f t="shared" si="110"/>
        <v>0</v>
      </c>
      <c r="M383" s="59">
        <f>+M376+M377+M378+M379+M380+M381+M382</f>
        <v>0</v>
      </c>
      <c r="N383" s="59">
        <f>+N376+N377+N378+N379+N380+N381+N382</f>
        <v>0</v>
      </c>
      <c r="O383" s="59">
        <f>+O376+O377+O378+O379+O380+O381+O382</f>
        <v>0</v>
      </c>
    </row>
    <row r="384" spans="2:15" ht="14" customHeight="1" thickTop="1" thickBot="1" x14ac:dyDescent="0.2">
      <c r="B384" s="124" t="s">
        <v>2</v>
      </c>
      <c r="C384" s="125" t="str">
        <f>+'Calendrier 2021'!C50</f>
        <v>Dimanche</v>
      </c>
      <c r="D384" s="77" t="s">
        <v>2</v>
      </c>
      <c r="E384" s="77" t="s">
        <v>2</v>
      </c>
      <c r="F384" s="77" t="s">
        <v>2</v>
      </c>
      <c r="G384" s="77" t="s">
        <v>2</v>
      </c>
      <c r="H384" s="77" t="s">
        <v>2</v>
      </c>
      <c r="I384" s="77" t="s">
        <v>2</v>
      </c>
      <c r="J384" s="77" t="s">
        <v>2</v>
      </c>
      <c r="K384" s="77" t="s">
        <v>2</v>
      </c>
      <c r="L384" s="77" t="s">
        <v>2</v>
      </c>
      <c r="M384" s="77" t="s">
        <v>2</v>
      </c>
      <c r="N384" s="77" t="s">
        <v>2</v>
      </c>
      <c r="O384" s="78" t="s">
        <v>2</v>
      </c>
    </row>
    <row r="385" spans="2:19" ht="14" customHeight="1" thickTop="1" thickBot="1" x14ac:dyDescent="0.2">
      <c r="B385" s="121">
        <v>1</v>
      </c>
      <c r="C385" s="100" t="str">
        <f t="shared" ref="C385:C391" si="111">C376</f>
        <v>6 h à 9 h 30</v>
      </c>
      <c r="D385" s="12">
        <v>0</v>
      </c>
      <c r="E385" s="12">
        <v>0</v>
      </c>
      <c r="F385" s="12">
        <v>0</v>
      </c>
      <c r="G385" s="12">
        <v>0</v>
      </c>
      <c r="H385" s="12">
        <v>0</v>
      </c>
      <c r="I385" s="12">
        <v>0</v>
      </c>
      <c r="J385" s="12">
        <v>0</v>
      </c>
      <c r="K385" s="12">
        <v>0</v>
      </c>
      <c r="L385" s="12">
        <v>0</v>
      </c>
      <c r="M385" s="12">
        <v>0</v>
      </c>
      <c r="N385" s="12">
        <v>0</v>
      </c>
      <c r="O385" s="12">
        <v>0</v>
      </c>
    </row>
    <row r="386" spans="2:19" ht="14" customHeight="1" thickTop="1" thickBot="1" x14ac:dyDescent="0.2">
      <c r="B386" s="18">
        <v>2</v>
      </c>
      <c r="C386" s="102" t="str">
        <f t="shared" si="111"/>
        <v>9 h 30 à 11 h 30</v>
      </c>
      <c r="D386" s="14">
        <v>0</v>
      </c>
      <c r="E386" s="14">
        <v>0</v>
      </c>
      <c r="F386" s="14">
        <v>0</v>
      </c>
      <c r="G386" s="14">
        <v>0</v>
      </c>
      <c r="H386" s="14">
        <v>0</v>
      </c>
      <c r="I386" s="14">
        <v>0</v>
      </c>
      <c r="J386" s="14">
        <v>0</v>
      </c>
      <c r="K386" s="14">
        <v>0</v>
      </c>
      <c r="L386" s="14">
        <v>0</v>
      </c>
      <c r="M386" s="14">
        <v>0</v>
      </c>
      <c r="N386" s="14">
        <v>0</v>
      </c>
      <c r="O386" s="14">
        <v>0</v>
      </c>
    </row>
    <row r="387" spans="2:19" ht="14" customHeight="1" thickTop="1" thickBot="1" x14ac:dyDescent="0.2">
      <c r="B387" s="18">
        <v>3</v>
      </c>
      <c r="C387" s="102" t="str">
        <f t="shared" si="111"/>
        <v>11 h 30 à 14 h 30</v>
      </c>
      <c r="D387" s="14">
        <v>0</v>
      </c>
      <c r="E387" s="14">
        <v>0</v>
      </c>
      <c r="F387" s="14">
        <v>0</v>
      </c>
      <c r="G387" s="14">
        <v>0</v>
      </c>
      <c r="H387" s="14">
        <v>0</v>
      </c>
      <c r="I387" s="14">
        <v>0</v>
      </c>
      <c r="J387" s="14">
        <v>0</v>
      </c>
      <c r="K387" s="14">
        <v>0</v>
      </c>
      <c r="L387" s="14">
        <v>0</v>
      </c>
      <c r="M387" s="14">
        <v>0</v>
      </c>
      <c r="N387" s="14">
        <v>0</v>
      </c>
      <c r="O387" s="14">
        <v>0</v>
      </c>
    </row>
    <row r="388" spans="2:19" ht="14" customHeight="1" thickTop="1" thickBot="1" x14ac:dyDescent="0.2">
      <c r="B388" s="18">
        <v>4</v>
      </c>
      <c r="C388" s="102" t="str">
        <f t="shared" si="111"/>
        <v>14 h 30 à 17 h</v>
      </c>
      <c r="D388" s="14">
        <v>0</v>
      </c>
      <c r="E388" s="14">
        <v>0</v>
      </c>
      <c r="F388" s="14">
        <v>0</v>
      </c>
      <c r="G388" s="14">
        <v>0</v>
      </c>
      <c r="H388" s="14">
        <v>0</v>
      </c>
      <c r="I388" s="14">
        <v>0</v>
      </c>
      <c r="J388" s="14">
        <v>0</v>
      </c>
      <c r="K388" s="14">
        <v>0</v>
      </c>
      <c r="L388" s="14">
        <v>0</v>
      </c>
      <c r="M388" s="14">
        <v>0</v>
      </c>
      <c r="N388" s="14">
        <v>0</v>
      </c>
      <c r="O388" s="14">
        <v>0</v>
      </c>
    </row>
    <row r="389" spans="2:19" ht="14" customHeight="1" thickTop="1" thickBot="1" x14ac:dyDescent="0.2">
      <c r="B389" s="18">
        <v>5</v>
      </c>
      <c r="C389" s="102" t="str">
        <f t="shared" si="111"/>
        <v>17 h à 19 h</v>
      </c>
      <c r="D389" s="14">
        <v>0</v>
      </c>
      <c r="E389" s="14">
        <v>0</v>
      </c>
      <c r="F389" s="14">
        <v>0</v>
      </c>
      <c r="G389" s="14">
        <v>0</v>
      </c>
      <c r="H389" s="14">
        <v>0</v>
      </c>
      <c r="I389" s="14">
        <v>0</v>
      </c>
      <c r="J389" s="14">
        <v>0</v>
      </c>
      <c r="K389" s="14">
        <v>0</v>
      </c>
      <c r="L389" s="14">
        <v>0</v>
      </c>
      <c r="M389" s="14">
        <v>0</v>
      </c>
      <c r="N389" s="14">
        <v>0</v>
      </c>
      <c r="O389" s="14">
        <v>0</v>
      </c>
      <c r="Q389" s="30"/>
      <c r="R389" s="30" t="s">
        <v>2</v>
      </c>
      <c r="S389" s="31" t="s">
        <v>2</v>
      </c>
    </row>
    <row r="390" spans="2:19" ht="14" customHeight="1" thickTop="1" thickBot="1" x14ac:dyDescent="0.2">
      <c r="B390" s="18">
        <v>6</v>
      </c>
      <c r="C390" s="102" t="str">
        <f t="shared" si="111"/>
        <v>19 h à 23 h</v>
      </c>
      <c r="D390" s="14">
        <v>0</v>
      </c>
      <c r="E390" s="14">
        <v>0</v>
      </c>
      <c r="F390" s="14">
        <v>0</v>
      </c>
      <c r="G390" s="14">
        <v>0</v>
      </c>
      <c r="H390" s="14">
        <v>0</v>
      </c>
      <c r="I390" s="14">
        <v>0</v>
      </c>
      <c r="J390" s="14">
        <v>0</v>
      </c>
      <c r="K390" s="14">
        <v>0</v>
      </c>
      <c r="L390" s="14">
        <v>0</v>
      </c>
      <c r="M390" s="14">
        <v>0</v>
      </c>
      <c r="N390" s="14">
        <v>0</v>
      </c>
      <c r="O390" s="14">
        <v>0</v>
      </c>
      <c r="S390" s="32" t="s">
        <v>2</v>
      </c>
    </row>
    <row r="391" spans="2:19" ht="14" customHeight="1" thickTop="1" thickBot="1" x14ac:dyDescent="0.2">
      <c r="B391" s="18">
        <v>7</v>
      </c>
      <c r="C391" s="102" t="str">
        <f t="shared" si="111"/>
        <v>23 h à 6 h</v>
      </c>
      <c r="D391" s="14">
        <v>0</v>
      </c>
      <c r="E391" s="14">
        <v>0</v>
      </c>
      <c r="F391" s="14">
        <v>0</v>
      </c>
      <c r="G391" s="14">
        <v>0</v>
      </c>
      <c r="H391" s="14">
        <v>0</v>
      </c>
      <c r="I391" s="14">
        <v>0</v>
      </c>
      <c r="J391" s="14">
        <v>0</v>
      </c>
      <c r="K391" s="14">
        <v>0</v>
      </c>
      <c r="L391" s="14">
        <v>0</v>
      </c>
      <c r="M391" s="14">
        <v>0</v>
      </c>
      <c r="N391" s="14">
        <v>0</v>
      </c>
      <c r="O391" s="14">
        <v>0</v>
      </c>
    </row>
    <row r="392" spans="2:19" ht="14" customHeight="1" thickTop="1" thickBot="1" x14ac:dyDescent="0.2">
      <c r="B392" s="18"/>
      <c r="C392" s="16" t="str">
        <f t="shared" ref="C392" si="112">+C383</f>
        <v>Total</v>
      </c>
      <c r="D392" s="126">
        <f>+D385+D386+D387+D388+D389+D390+D391</f>
        <v>0</v>
      </c>
      <c r="E392" s="59">
        <v>0</v>
      </c>
      <c r="F392" s="59">
        <f t="shared" ref="F392:O392" si="113">+F385+F386+F387+F388+F389+F390+F391</f>
        <v>0</v>
      </c>
      <c r="G392" s="59">
        <f t="shared" si="113"/>
        <v>0</v>
      </c>
      <c r="H392" s="59">
        <f t="shared" si="113"/>
        <v>0</v>
      </c>
      <c r="I392" s="59">
        <f t="shared" si="113"/>
        <v>0</v>
      </c>
      <c r="J392" s="59">
        <f t="shared" si="113"/>
        <v>0</v>
      </c>
      <c r="K392" s="59">
        <f t="shared" si="113"/>
        <v>0</v>
      </c>
      <c r="L392" s="59">
        <f t="shared" si="113"/>
        <v>0</v>
      </c>
      <c r="M392" s="59">
        <f>+M385+M386+M387+M388+M389+M390+M391</f>
        <v>0</v>
      </c>
      <c r="N392" s="59">
        <f t="shared" si="113"/>
        <v>0</v>
      </c>
      <c r="O392" s="59">
        <f t="shared" si="113"/>
        <v>0</v>
      </c>
    </row>
    <row r="393" spans="2:19" ht="14" customHeight="1" thickTop="1" thickBot="1" x14ac:dyDescent="0.2">
      <c r="B393" s="33"/>
      <c r="C393" s="34"/>
      <c r="D393" s="35"/>
      <c r="E393" s="35"/>
      <c r="F393" s="35"/>
      <c r="G393" s="35"/>
      <c r="H393" s="35"/>
      <c r="I393" s="35"/>
      <c r="J393" s="35"/>
      <c r="K393" s="35"/>
      <c r="L393" s="35"/>
      <c r="M393" s="35"/>
      <c r="N393" s="35"/>
      <c r="O393" s="36"/>
    </row>
    <row r="394" spans="2:19" ht="14" customHeight="1" thickTop="1" thickBot="1" x14ac:dyDescent="0.2"/>
    <row r="395" spans="2:19" ht="14" customHeight="1" thickTop="1" x14ac:dyDescent="0.15">
      <c r="B395" s="87"/>
      <c r="C395" s="85" t="s">
        <v>22</v>
      </c>
      <c r="D395" s="82">
        <f t="shared" ref="D395:O395" si="114">+D18+D27+D36+D45+D54+D63+D72+D82+D91+D100+D109+D118+D127+D136+D146+D155+D164+D173+D182+D191+D200+D210+D219+D228+D237+D246+D255+D264+D274+D283+D292+D301+D310+D319+D328+D338+D347+D356+D365+D374+D383+D392</f>
        <v>1550</v>
      </c>
      <c r="E395" s="82">
        <f t="shared" si="114"/>
        <v>1260</v>
      </c>
      <c r="F395" s="82">
        <f t="shared" si="114"/>
        <v>1550</v>
      </c>
      <c r="G395" s="82">
        <f t="shared" si="114"/>
        <v>1650</v>
      </c>
      <c r="H395" s="82">
        <f t="shared" si="114"/>
        <v>1860</v>
      </c>
      <c r="I395" s="82">
        <f t="shared" si="114"/>
        <v>2250</v>
      </c>
      <c r="J395" s="82">
        <f t="shared" si="114"/>
        <v>3100</v>
      </c>
      <c r="K395" s="82">
        <f t="shared" si="114"/>
        <v>2790</v>
      </c>
      <c r="L395" s="82">
        <f t="shared" si="114"/>
        <v>1800</v>
      </c>
      <c r="M395" s="82">
        <f t="shared" si="114"/>
        <v>1705</v>
      </c>
      <c r="N395" s="82">
        <f t="shared" si="114"/>
        <v>1500</v>
      </c>
      <c r="O395" s="82">
        <f t="shared" si="114"/>
        <v>1860</v>
      </c>
      <c r="P395" s="82">
        <f>+SUM(D395:O395)</f>
        <v>22875</v>
      </c>
      <c r="Q395" s="798" t="s">
        <v>23</v>
      </c>
      <c r="R395" s="799"/>
    </row>
    <row r="396" spans="2:19" ht="14" customHeight="1" thickBot="1" x14ac:dyDescent="0.2">
      <c r="B396" s="88"/>
      <c r="C396" s="86"/>
      <c r="D396" s="83">
        <f t="shared" ref="D396:O396" si="115">+D395/D8</f>
        <v>50</v>
      </c>
      <c r="E396" s="83">
        <f t="shared" si="115"/>
        <v>45</v>
      </c>
      <c r="F396" s="83">
        <f t="shared" si="115"/>
        <v>50</v>
      </c>
      <c r="G396" s="83">
        <f t="shared" si="115"/>
        <v>55</v>
      </c>
      <c r="H396" s="83">
        <f t="shared" si="115"/>
        <v>60</v>
      </c>
      <c r="I396" s="83">
        <f t="shared" si="115"/>
        <v>75</v>
      </c>
      <c r="J396" s="83">
        <f t="shared" si="115"/>
        <v>100</v>
      </c>
      <c r="K396" s="83">
        <f t="shared" si="115"/>
        <v>90</v>
      </c>
      <c r="L396" s="83">
        <f t="shared" si="115"/>
        <v>60</v>
      </c>
      <c r="M396" s="83">
        <f t="shared" si="115"/>
        <v>55</v>
      </c>
      <c r="N396" s="83">
        <f t="shared" si="115"/>
        <v>50</v>
      </c>
      <c r="O396" s="83">
        <f t="shared" si="115"/>
        <v>60</v>
      </c>
      <c r="P396" s="791" t="s">
        <v>24</v>
      </c>
      <c r="Q396" s="792"/>
      <c r="R396" s="84"/>
    </row>
    <row r="397" spans="2:19" ht="14" customHeight="1" thickTop="1" x14ac:dyDescent="0.15">
      <c r="P397" s="127" t="s">
        <v>2</v>
      </c>
    </row>
    <row r="398" spans="2:19" ht="14" customHeight="1" x14ac:dyDescent="0.15">
      <c r="C398" s="37" t="s">
        <v>2</v>
      </c>
      <c r="D398" s="62" t="s">
        <v>2</v>
      </c>
      <c r="E398" s="63" t="s">
        <v>2</v>
      </c>
      <c r="F398" s="63" t="s">
        <v>2</v>
      </c>
      <c r="G398" s="63" t="s">
        <v>2</v>
      </c>
      <c r="H398" s="63" t="s">
        <v>2</v>
      </c>
      <c r="I398" s="63" t="s">
        <v>2</v>
      </c>
      <c r="J398" s="63" t="s">
        <v>2</v>
      </c>
      <c r="K398" s="63" t="s">
        <v>2</v>
      </c>
      <c r="L398" s="63" t="s">
        <v>2</v>
      </c>
      <c r="M398" s="63" t="s">
        <v>2</v>
      </c>
      <c r="N398" s="63" t="s">
        <v>2</v>
      </c>
      <c r="O398" s="63" t="s">
        <v>2</v>
      </c>
      <c r="P398" s="63" t="s">
        <v>2</v>
      </c>
      <c r="Q398" s="63"/>
    </row>
    <row r="399" spans="2:19" ht="14" customHeight="1" x14ac:dyDescent="0.15">
      <c r="D399" s="38" t="s">
        <v>2</v>
      </c>
    </row>
    <row r="400" spans="2:19" ht="14" customHeight="1" x14ac:dyDescent="0.15">
      <c r="D400" s="38" t="s">
        <v>2</v>
      </c>
    </row>
    <row r="401" spans="4:4" ht="14" customHeight="1" x14ac:dyDescent="0.15">
      <c r="D401" s="38" t="s">
        <v>2</v>
      </c>
    </row>
    <row r="402" spans="4:4" ht="14" customHeight="1" x14ac:dyDescent="0.15">
      <c r="D402" s="38" t="s">
        <v>2</v>
      </c>
    </row>
    <row r="403" spans="4:4" ht="14" customHeight="1" x14ac:dyDescent="0.15">
      <c r="D403" s="38" t="s">
        <v>2</v>
      </c>
    </row>
    <row r="404" spans="4:4" ht="14" customHeight="1" x14ac:dyDescent="0.15">
      <c r="D404" s="38" t="s">
        <v>2</v>
      </c>
    </row>
    <row r="405" spans="4:4" ht="14" customHeight="1" x14ac:dyDescent="0.15">
      <c r="D405" s="38"/>
    </row>
    <row r="406" spans="4:4" ht="14" customHeight="1" x14ac:dyDescent="0.15">
      <c r="D406" s="38" t="s">
        <v>2</v>
      </c>
    </row>
    <row r="407" spans="4:4" ht="14" customHeight="1" x14ac:dyDescent="0.15">
      <c r="D407" s="38" t="s">
        <v>2</v>
      </c>
    </row>
    <row r="408" spans="4:4" ht="14" customHeight="1" x14ac:dyDescent="0.15">
      <c r="D408" s="38" t="s">
        <v>2</v>
      </c>
    </row>
    <row r="409" spans="4:4" ht="14" customHeight="1" x14ac:dyDescent="0.15">
      <c r="D409" s="38" t="s">
        <v>2</v>
      </c>
    </row>
    <row r="410" spans="4:4" ht="14" customHeight="1" x14ac:dyDescent="0.15">
      <c r="D410" s="38" t="s">
        <v>2</v>
      </c>
    </row>
    <row r="411" spans="4:4" ht="14" customHeight="1" x14ac:dyDescent="0.15"/>
    <row r="412" spans="4:4" ht="14" customHeight="1" x14ac:dyDescent="0.15"/>
    <row r="413" spans="4:4" ht="14" customHeight="1" x14ac:dyDescent="0.15"/>
    <row r="414" spans="4:4" ht="14" customHeight="1" x14ac:dyDescent="0.15"/>
    <row r="415" spans="4:4" ht="14" customHeight="1" x14ac:dyDescent="0.15"/>
    <row r="416" spans="4:4" ht="14" customHeight="1" x14ac:dyDescent="0.15"/>
    <row r="417" ht="14" customHeight="1" x14ac:dyDescent="0.15"/>
    <row r="418" ht="14" customHeight="1" x14ac:dyDescent="0.15"/>
    <row r="419" ht="14" customHeight="1" x14ac:dyDescent="0.15"/>
    <row r="420" ht="14" customHeight="1" x14ac:dyDescent="0.15"/>
    <row r="421" ht="14" customHeight="1" x14ac:dyDescent="0.15"/>
    <row r="422" ht="14" customHeight="1" x14ac:dyDescent="0.15"/>
    <row r="423" ht="14" customHeight="1" x14ac:dyDescent="0.15"/>
    <row r="424" ht="14" customHeight="1" x14ac:dyDescent="0.15"/>
    <row r="425" ht="14" customHeight="1" x14ac:dyDescent="0.15"/>
    <row r="426" ht="14" customHeight="1" x14ac:dyDescent="0.15"/>
    <row r="427" ht="14" customHeight="1" x14ac:dyDescent="0.15"/>
    <row r="428" ht="14" customHeight="1" x14ac:dyDescent="0.15"/>
    <row r="429" ht="14" customHeight="1" x14ac:dyDescent="0.15"/>
    <row r="430" ht="14" customHeight="1" x14ac:dyDescent="0.15"/>
    <row r="431" ht="14" customHeight="1" x14ac:dyDescent="0.15"/>
    <row r="432" ht="14" customHeight="1" x14ac:dyDescent="0.15"/>
    <row r="433" ht="14" customHeight="1" x14ac:dyDescent="0.15"/>
    <row r="434" ht="14" customHeight="1" x14ac:dyDescent="0.15"/>
    <row r="435" ht="14" customHeight="1" x14ac:dyDescent="0.15"/>
    <row r="436" ht="14" customHeight="1" x14ac:dyDescent="0.15"/>
    <row r="437" ht="14" customHeight="1" x14ac:dyDescent="0.15"/>
    <row r="438" ht="14" customHeight="1" x14ac:dyDescent="0.15"/>
    <row r="439" ht="14" customHeight="1" x14ac:dyDescent="0.15"/>
    <row r="440" ht="14" customHeight="1" x14ac:dyDescent="0.15"/>
    <row r="441" ht="14" customHeight="1" x14ac:dyDescent="0.15"/>
    <row r="442" ht="14" customHeight="1" x14ac:dyDescent="0.15"/>
    <row r="443" ht="14" customHeight="1" x14ac:dyDescent="0.15"/>
    <row r="444" ht="14" customHeight="1" x14ac:dyDescent="0.15"/>
    <row r="445" ht="14" customHeight="1" x14ac:dyDescent="0.15"/>
    <row r="446" ht="14" customHeight="1" x14ac:dyDescent="0.15"/>
    <row r="447" ht="14" customHeight="1" x14ac:dyDescent="0.15"/>
    <row r="448" ht="14" customHeight="1" x14ac:dyDescent="0.15"/>
    <row r="449" ht="14" customHeight="1" x14ac:dyDescent="0.15"/>
    <row r="450" ht="14" customHeight="1" x14ac:dyDescent="0.15"/>
    <row r="451" ht="14" customHeight="1" x14ac:dyDescent="0.15"/>
    <row r="452" ht="14" customHeight="1" x14ac:dyDescent="0.15"/>
    <row r="453" ht="14" customHeight="1" x14ac:dyDescent="0.15"/>
    <row r="454" ht="14" customHeight="1" x14ac:dyDescent="0.15"/>
    <row r="455" ht="14" customHeight="1" x14ac:dyDescent="0.15"/>
    <row r="456" ht="14" customHeight="1" x14ac:dyDescent="0.15"/>
    <row r="457" ht="14" customHeight="1" x14ac:dyDescent="0.15"/>
    <row r="458" ht="14" customHeight="1" x14ac:dyDescent="0.15"/>
    <row r="459" ht="14" customHeight="1" x14ac:dyDescent="0.15"/>
    <row r="460" ht="14" customHeight="1" x14ac:dyDescent="0.15"/>
    <row r="461" ht="14" customHeight="1" x14ac:dyDescent="0.15"/>
    <row r="462" ht="14" customHeight="1" x14ac:dyDescent="0.15"/>
    <row r="463" ht="14" customHeight="1" x14ac:dyDescent="0.15"/>
    <row r="464" ht="14" customHeight="1" x14ac:dyDescent="0.15"/>
    <row r="465" ht="14" customHeight="1" x14ac:dyDescent="0.15"/>
    <row r="466" ht="14" customHeight="1" x14ac:dyDescent="0.15"/>
    <row r="467" ht="14" customHeight="1" x14ac:dyDescent="0.15"/>
    <row r="468" ht="14" customHeight="1" x14ac:dyDescent="0.15"/>
    <row r="469" ht="14" customHeight="1" x14ac:dyDescent="0.15"/>
    <row r="470" ht="14" customHeight="1" x14ac:dyDescent="0.15"/>
  </sheetData>
  <sheetProtection algorithmName="SHA-512" hashValue="IHvA7U7HQgjwr/IHu/L2crNlisCt9hLSxpbny5ftc7+aA+JoH4ihiqhchhdzQMoEUQU4X1dbgOnqoEEq0IhCHA==" saltValue="s5tqlC0LQ3aWEer2kfEdBw==" spinCount="100000" sheet="1" objects="1" scenarios="1"/>
  <mergeCells count="13">
    <mergeCell ref="B9:O9"/>
    <mergeCell ref="B2:O2"/>
    <mergeCell ref="B3:O3"/>
    <mergeCell ref="B4:O4"/>
    <mergeCell ref="B7:C7"/>
    <mergeCell ref="B8:C8"/>
    <mergeCell ref="P396:Q396"/>
    <mergeCell ref="B73:O73"/>
    <mergeCell ref="B137:O137"/>
    <mergeCell ref="B201:O201"/>
    <mergeCell ref="B265:O265"/>
    <mergeCell ref="B329:O329"/>
    <mergeCell ref="Q395:R395"/>
  </mergeCells>
  <pageMargins left="0.75" right="0.75" top="1" bottom="1" header="0.4921259845" footer="0.4921259845"/>
  <pageSetup orientation="portrait" horizontalDpi="4294967292" verticalDpi="4294967292"/>
  <ignoredErrors>
    <ignoredError sqref="C384 C357 C366 C375 C37 C46 C55 C64 C101 C110 C119 C128 C165 C174 C183 C192 C229 C238 C247 C256 C293 C302 C311 C320" formula="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1"/>
  </sheetPr>
  <dimension ref="B1:P24"/>
  <sheetViews>
    <sheetView zoomScale="150" zoomScaleNormal="150" zoomScalePageLayoutView="150" workbookViewId="0">
      <selection activeCell="B1" sqref="B1"/>
    </sheetView>
  </sheetViews>
  <sheetFormatPr baseColWidth="10" defaultRowHeight="13" x14ac:dyDescent="0.15"/>
  <cols>
    <col min="1" max="1" width="4.33203125" customWidth="1"/>
    <col min="2" max="2" width="19" bestFit="1" customWidth="1"/>
    <col min="4" max="4" width="10.83203125" customWidth="1"/>
    <col min="5" max="5" width="10.6640625" customWidth="1"/>
    <col min="6" max="6" width="9.1640625" customWidth="1"/>
    <col min="7" max="7" width="8.6640625" customWidth="1"/>
    <col min="8" max="8" width="8.1640625" customWidth="1"/>
    <col min="9" max="9" width="8.5" customWidth="1"/>
    <col min="10" max="10" width="9.6640625" customWidth="1"/>
    <col min="11" max="11" width="8.83203125" customWidth="1"/>
    <col min="12" max="12" width="13.6640625" bestFit="1" customWidth="1"/>
    <col min="13" max="13" width="11.33203125" bestFit="1" customWidth="1"/>
    <col min="14" max="15" width="13.1640625" bestFit="1" customWidth="1"/>
    <col min="16" max="16" width="18.5" customWidth="1"/>
  </cols>
  <sheetData>
    <row r="1" spans="2:16" ht="14" thickBot="1" x14ac:dyDescent="0.2"/>
    <row r="2" spans="2:16" ht="19" thickTop="1" x14ac:dyDescent="0.2">
      <c r="B2" s="816" t="str">
        <f>+'Calendrier 2021'!B2:O2</f>
        <v xml:space="preserve">Entreprise de restauration alimentaire 12 inc. </v>
      </c>
      <c r="C2" s="817"/>
      <c r="D2" s="817"/>
      <c r="E2" s="817"/>
      <c r="F2" s="817"/>
      <c r="G2" s="817"/>
      <c r="H2" s="817"/>
      <c r="I2" s="817"/>
      <c r="J2" s="817"/>
      <c r="K2" s="817"/>
      <c r="L2" s="817"/>
      <c r="M2" s="817"/>
      <c r="N2" s="817"/>
      <c r="O2" s="817"/>
      <c r="P2" s="818"/>
    </row>
    <row r="3" spans="2:16" ht="16" x14ac:dyDescent="0.2">
      <c r="B3" s="819" t="str">
        <f>+'Calendrier 2021'!B3:O3</f>
        <v xml:space="preserve">États des résultats prévisionnels </v>
      </c>
      <c r="C3" s="820"/>
      <c r="D3" s="820"/>
      <c r="E3" s="820"/>
      <c r="F3" s="820"/>
      <c r="G3" s="820"/>
      <c r="H3" s="820"/>
      <c r="I3" s="820"/>
      <c r="J3" s="820"/>
      <c r="K3" s="820"/>
      <c r="L3" s="820"/>
      <c r="M3" s="820"/>
      <c r="N3" s="820"/>
      <c r="O3" s="820"/>
      <c r="P3" s="821"/>
    </row>
    <row r="4" spans="2:16" ht="14" thickBot="1" x14ac:dyDescent="0.2">
      <c r="B4" s="822" t="str">
        <f>+'Calendrier 2021'!B4:O4</f>
        <v>Pour la période du 1er janvier 2021 au 31 décembre 2021</v>
      </c>
      <c r="C4" s="823"/>
      <c r="D4" s="823"/>
      <c r="E4" s="823"/>
      <c r="F4" s="823"/>
      <c r="G4" s="823"/>
      <c r="H4" s="823"/>
      <c r="I4" s="823"/>
      <c r="J4" s="823"/>
      <c r="K4" s="823"/>
      <c r="L4" s="823"/>
      <c r="M4" s="823"/>
      <c r="N4" s="823"/>
      <c r="O4" s="823"/>
      <c r="P4" s="824"/>
    </row>
    <row r="5" spans="2:16" ht="14" thickTop="1" x14ac:dyDescent="0.15">
      <c r="B5" s="89"/>
      <c r="C5" s="90"/>
      <c r="D5" s="91" t="str">
        <f>+'Achalandage 2021'!D5</f>
        <v>Pér.01</v>
      </c>
      <c r="E5" s="91" t="str">
        <f>+'Achalandage 2021'!E5</f>
        <v>Pér.02</v>
      </c>
      <c r="F5" s="91" t="str">
        <f>+'Achalandage 2021'!F5</f>
        <v>Pér.03</v>
      </c>
      <c r="G5" s="91" t="str">
        <f>+'Achalandage 2021'!G5</f>
        <v>Pér.04</v>
      </c>
      <c r="H5" s="91" t="str">
        <f>+'Achalandage 2021'!H5</f>
        <v>Pér.05</v>
      </c>
      <c r="I5" s="91" t="str">
        <f>+'Achalandage 2021'!I5</f>
        <v>Pér.06</v>
      </c>
      <c r="J5" s="91" t="str">
        <f>+'Achalandage 2021'!J5</f>
        <v>Pér.07</v>
      </c>
      <c r="K5" s="91" t="str">
        <f>+'Achalandage 2021'!K5</f>
        <v>Pér.08</v>
      </c>
      <c r="L5" s="91" t="str">
        <f>+'Achalandage 2021'!L5</f>
        <v>Pér.09</v>
      </c>
      <c r="M5" s="91" t="str">
        <f>+'Achalandage 2021'!M5</f>
        <v>Pér.10</v>
      </c>
      <c r="N5" s="91" t="str">
        <f>+'Achalandage 2021'!N5</f>
        <v>Pér.11</v>
      </c>
      <c r="O5" s="91" t="str">
        <f>+'Achalandage 2021'!O5</f>
        <v>Pér.12</v>
      </c>
      <c r="P5" s="92" t="s">
        <v>30</v>
      </c>
    </row>
    <row r="6" spans="2:16" ht="14" thickBot="1" x14ac:dyDescent="0.2">
      <c r="B6" s="93"/>
      <c r="C6" s="94"/>
      <c r="D6" s="95" t="str">
        <f>+'Achalandage 2021'!D6</f>
        <v>Janvier 2021</v>
      </c>
      <c r="E6" s="95" t="str">
        <f>+'Achalandage 2021'!E6</f>
        <v>Février 2021</v>
      </c>
      <c r="F6" s="95" t="str">
        <f>+'Achalandage 2021'!F6</f>
        <v>Mars 2021</v>
      </c>
      <c r="G6" s="95" t="str">
        <f>+'Achalandage 2021'!G6</f>
        <v>Avril 2021</v>
      </c>
      <c r="H6" s="95" t="str">
        <f>+'Achalandage 2021'!H6</f>
        <v>Mai 2021</v>
      </c>
      <c r="I6" s="95" t="str">
        <f>+'Achalandage 2021'!I6</f>
        <v>Juin 2021</v>
      </c>
      <c r="J6" s="95" t="str">
        <f>+'Achalandage 2021'!J6</f>
        <v>Juillet 2021</v>
      </c>
      <c r="K6" s="95" t="str">
        <f>+'Achalandage 2021'!K6</f>
        <v>Août 2021</v>
      </c>
      <c r="L6" s="95" t="str">
        <f>+'Achalandage 2021'!L6</f>
        <v>Septembre 2021</v>
      </c>
      <c r="M6" s="95" t="str">
        <f>+'Achalandage 2021'!M6</f>
        <v>Octobre 2021</v>
      </c>
      <c r="N6" s="95" t="str">
        <f>+'Achalandage 2021'!N6</f>
        <v>Novembre 2021</v>
      </c>
      <c r="O6" s="95" t="str">
        <f>+'Achalandage 2021'!O6</f>
        <v>Décembre 2021</v>
      </c>
      <c r="P6" s="96" t="s">
        <v>10</v>
      </c>
    </row>
    <row r="7" spans="2:16" ht="15" thickTop="1" thickBot="1" x14ac:dyDescent="0.2">
      <c r="B7" s="829" t="str">
        <f>+'Achalandage 2021'!B7:C7</f>
        <v>NB de place</v>
      </c>
      <c r="C7" s="830"/>
      <c r="D7" s="117">
        <f>+'Calendrier 2021'!D7</f>
        <v>50</v>
      </c>
      <c r="E7" s="118">
        <f t="shared" ref="E7:O7" si="0">+D7</f>
        <v>50</v>
      </c>
      <c r="F7" s="119">
        <f t="shared" si="0"/>
        <v>50</v>
      </c>
      <c r="G7" s="119">
        <f t="shared" si="0"/>
        <v>50</v>
      </c>
      <c r="H7" s="119">
        <f t="shared" si="0"/>
        <v>50</v>
      </c>
      <c r="I7" s="119">
        <f t="shared" si="0"/>
        <v>50</v>
      </c>
      <c r="J7" s="119">
        <f t="shared" si="0"/>
        <v>50</v>
      </c>
      <c r="K7" s="119">
        <f t="shared" si="0"/>
        <v>50</v>
      </c>
      <c r="L7" s="119">
        <f t="shared" si="0"/>
        <v>50</v>
      </c>
      <c r="M7" s="119">
        <f t="shared" si="0"/>
        <v>50</v>
      </c>
      <c r="N7" s="119">
        <f t="shared" si="0"/>
        <v>50</v>
      </c>
      <c r="O7" s="120">
        <f t="shared" si="0"/>
        <v>50</v>
      </c>
      <c r="P7" s="120">
        <f t="shared" ref="P7" si="1">+O7</f>
        <v>50</v>
      </c>
    </row>
    <row r="8" spans="2:16" ht="15" thickTop="1" thickBot="1" x14ac:dyDescent="0.2">
      <c r="B8" s="831" t="s">
        <v>28</v>
      </c>
      <c r="C8" s="832"/>
      <c r="D8" s="97">
        <f>+'Achalandage 2021'!D8</f>
        <v>31</v>
      </c>
      <c r="E8" s="97">
        <f>+'Achalandage 2021'!E8</f>
        <v>28</v>
      </c>
      <c r="F8" s="97">
        <f>+'Achalandage 2021'!F8</f>
        <v>31</v>
      </c>
      <c r="G8" s="97">
        <f>+'Achalandage 2021'!G8</f>
        <v>30</v>
      </c>
      <c r="H8" s="97">
        <f>+'Achalandage 2021'!H8</f>
        <v>31</v>
      </c>
      <c r="I8" s="97">
        <f>+'Achalandage 2021'!I8</f>
        <v>30</v>
      </c>
      <c r="J8" s="97">
        <f>+'Achalandage 2021'!J8</f>
        <v>31</v>
      </c>
      <c r="K8" s="97">
        <f>+'Achalandage 2021'!K8</f>
        <v>31</v>
      </c>
      <c r="L8" s="97">
        <f>+'Achalandage 2021'!L8</f>
        <v>30</v>
      </c>
      <c r="M8" s="97">
        <f>+'Achalandage 2021'!M8</f>
        <v>31</v>
      </c>
      <c r="N8" s="97">
        <f>+'Achalandage 2021'!N8</f>
        <v>30</v>
      </c>
      <c r="O8" s="97">
        <f>+'Achalandage 2021'!O8</f>
        <v>31</v>
      </c>
      <c r="P8" s="98">
        <f>+D8+E8+F8+G8+H8+I8+J8+K8+L8+M8+N8+O8</f>
        <v>365</v>
      </c>
    </row>
    <row r="9" spans="2:16" ht="15" thickTop="1" thickBot="1" x14ac:dyDescent="0.2">
      <c r="B9" s="833" t="s">
        <v>29</v>
      </c>
      <c r="C9" s="834"/>
      <c r="D9" s="287">
        <f t="shared" ref="D9:O9" si="2">+D8</f>
        <v>31</v>
      </c>
      <c r="E9" s="287">
        <f t="shared" si="2"/>
        <v>28</v>
      </c>
      <c r="F9" s="287">
        <f t="shared" si="2"/>
        <v>31</v>
      </c>
      <c r="G9" s="287">
        <f t="shared" si="2"/>
        <v>30</v>
      </c>
      <c r="H9" s="287">
        <f t="shared" si="2"/>
        <v>31</v>
      </c>
      <c r="I9" s="287">
        <f t="shared" si="2"/>
        <v>30</v>
      </c>
      <c r="J9" s="287">
        <f t="shared" si="2"/>
        <v>31</v>
      </c>
      <c r="K9" s="287">
        <f t="shared" si="2"/>
        <v>31</v>
      </c>
      <c r="L9" s="287">
        <f t="shared" si="2"/>
        <v>30</v>
      </c>
      <c r="M9" s="287">
        <f t="shared" si="2"/>
        <v>31</v>
      </c>
      <c r="N9" s="287">
        <f t="shared" si="2"/>
        <v>30</v>
      </c>
      <c r="O9" s="287">
        <f t="shared" si="2"/>
        <v>31</v>
      </c>
      <c r="P9" s="116">
        <f>+D9+E9+F9+G9+H9+I9+J9+K9+L9+M9+N9+O9</f>
        <v>365</v>
      </c>
    </row>
    <row r="10" spans="2:16" ht="15" thickTop="1" thickBot="1" x14ac:dyDescent="0.2">
      <c r="B10" s="106" t="s">
        <v>52</v>
      </c>
      <c r="C10" s="107" t="s">
        <v>2</v>
      </c>
      <c r="D10" s="108">
        <f t="shared" ref="D10:O10" si="3">+D19/$P$19</f>
        <v>6.7759562841530049E-2</v>
      </c>
      <c r="E10" s="108">
        <f t="shared" si="3"/>
        <v>5.5081967213114758E-2</v>
      </c>
      <c r="F10" s="108">
        <f t="shared" si="3"/>
        <v>6.7759562841530049E-2</v>
      </c>
      <c r="G10" s="108">
        <f t="shared" si="3"/>
        <v>7.2131147540983612E-2</v>
      </c>
      <c r="H10" s="108">
        <f t="shared" si="3"/>
        <v>8.1311475409836062E-2</v>
      </c>
      <c r="I10" s="108">
        <f t="shared" si="3"/>
        <v>9.8360655737704916E-2</v>
      </c>
      <c r="J10" s="108">
        <f t="shared" si="3"/>
        <v>0.1355191256830601</v>
      </c>
      <c r="K10" s="108">
        <f t="shared" si="3"/>
        <v>0.1219672131147541</v>
      </c>
      <c r="L10" s="108">
        <f t="shared" si="3"/>
        <v>7.8688524590163941E-2</v>
      </c>
      <c r="M10" s="108">
        <f t="shared" si="3"/>
        <v>7.4535519125683056E-2</v>
      </c>
      <c r="N10" s="108">
        <f t="shared" si="3"/>
        <v>6.5573770491803282E-2</v>
      </c>
      <c r="O10" s="108">
        <f t="shared" si="3"/>
        <v>8.1311475409836062E-2</v>
      </c>
      <c r="P10" s="109">
        <f>+D10+E10+F10+G10+H10+I10+J10+K10+L10+M10+N10+O10</f>
        <v>1</v>
      </c>
    </row>
    <row r="11" spans="2:16" ht="13" customHeight="1" thickTop="1" x14ac:dyDescent="0.15">
      <c r="B11" s="99">
        <v>1</v>
      </c>
      <c r="C11" s="100" t="s">
        <v>3</v>
      </c>
      <c r="D11" s="69">
        <f>+'Achalandage 2021'!D11+'Achalandage 2021'!D20+'Achalandage 2021'!D29+'Achalandage 2021'!D38+'Achalandage 2021'!D47+'Achalandage 2021'!D56+'Achalandage 2021'!D65+'Achalandage 2021'!D75+'Achalandage 2021'!D84+'Achalandage 2021'!D93+'Achalandage 2021'!D102+'Achalandage 2021'!D111+'Achalandage 2021'!D120+'Achalandage 2021'!D129+'Achalandage 2021'!D139+'Achalandage 2021'!D148+'Achalandage 2021'!D157+'Achalandage 2021'!D166+'Achalandage 2021'!D175+'Achalandage 2021'!D184+'Achalandage 2021'!D193+'Achalandage 2021'!D203+'Achalandage 2021'!D212+'Achalandage 2021'!D221+'Achalandage 2021'!D230+'Achalandage 2021'!D239+'Achalandage 2021'!D248+'Achalandage 2021'!D257+'Achalandage 2021'!D267+'Achalandage 2021'!D276+'Achalandage 2021'!D285+'Achalandage 2021'!D294+'Achalandage 2021'!D303+'Achalandage 2021'!D312+'Achalandage 2021'!D321+'Achalandage 2021'!D331+'Achalandage 2021'!D340+'Achalandage 2021'!D349+'Achalandage 2021'!D358+'Achalandage 2021'!D367+'Achalandage 2021'!D376+'Achalandage 2021'!D385</f>
        <v>0</v>
      </c>
      <c r="E11" s="69">
        <f>+'Achalandage 2021'!E11+'Achalandage 2021'!E20+'Achalandage 2021'!E29+'Achalandage 2021'!E38+'Achalandage 2021'!E47+'Achalandage 2021'!E56+'Achalandage 2021'!E65+'Achalandage 2021'!E75+'Achalandage 2021'!E84+'Achalandage 2021'!E93+'Achalandage 2021'!E102+'Achalandage 2021'!E111+'Achalandage 2021'!E120+'Achalandage 2021'!E129+'Achalandage 2021'!E139+'Achalandage 2021'!E148+'Achalandage 2021'!E157+'Achalandage 2021'!E166+'Achalandage 2021'!E175+'Achalandage 2021'!E184+'Achalandage 2021'!E193+'Achalandage 2021'!E203+'Achalandage 2021'!E212+'Achalandage 2021'!E221+'Achalandage 2021'!E230+'Achalandage 2021'!E239+'Achalandage 2021'!E248+'Achalandage 2021'!E257+'Achalandage 2021'!E267+'Achalandage 2021'!E276+'Achalandage 2021'!E285+'Achalandage 2021'!E294+'Achalandage 2021'!E303+'Achalandage 2021'!E312+'Achalandage 2021'!E321+'Achalandage 2021'!E331+'Achalandage 2021'!E340+'Achalandage 2021'!E349+'Achalandage 2021'!E358+'Achalandage 2021'!E367+'Achalandage 2021'!E376+'Achalandage 2021'!E385</f>
        <v>0</v>
      </c>
      <c r="F11" s="69">
        <f>+'Achalandage 2021'!F11+'Achalandage 2021'!F20+'Achalandage 2021'!F29+'Achalandage 2021'!F38+'Achalandage 2021'!F47+'Achalandage 2021'!F56+'Achalandage 2021'!F65+'Achalandage 2021'!F75+'Achalandage 2021'!F84+'Achalandage 2021'!F93+'Achalandage 2021'!F102+'Achalandage 2021'!F111+'Achalandage 2021'!F120+'Achalandage 2021'!F129+'Achalandage 2021'!F139+'Achalandage 2021'!F148+'Achalandage 2021'!F157+'Achalandage 2021'!F166+'Achalandage 2021'!F175+'Achalandage 2021'!F184+'Achalandage 2021'!F193+'Achalandage 2021'!F203+'Achalandage 2021'!F212+'Achalandage 2021'!F221+'Achalandage 2021'!F230+'Achalandage 2021'!F239+'Achalandage 2021'!F248+'Achalandage 2021'!F257+'Achalandage 2021'!F267+'Achalandage 2021'!F276+'Achalandage 2021'!F285+'Achalandage 2021'!F294+'Achalandage 2021'!F303+'Achalandage 2021'!F312+'Achalandage 2021'!F321+'Achalandage 2021'!F331+'Achalandage 2021'!F340+'Achalandage 2021'!F349+'Achalandage 2021'!F358+'Achalandage 2021'!F367+'Achalandage 2021'!F376+'Achalandage 2021'!F385</f>
        <v>0</v>
      </c>
      <c r="G11" s="69">
        <f>+'Achalandage 2021'!G11+'Achalandage 2021'!G20+'Achalandage 2021'!G29+'Achalandage 2021'!G38+'Achalandage 2021'!G47+'Achalandage 2021'!G56+'Achalandage 2021'!G65+'Achalandage 2021'!G75+'Achalandage 2021'!G84+'Achalandage 2021'!G93+'Achalandage 2021'!G102+'Achalandage 2021'!G111+'Achalandage 2021'!G120+'Achalandage 2021'!G129+'Achalandage 2021'!G139+'Achalandage 2021'!G148+'Achalandage 2021'!G157+'Achalandage 2021'!G166+'Achalandage 2021'!G175+'Achalandage 2021'!G184+'Achalandage 2021'!G193+'Achalandage 2021'!G203+'Achalandage 2021'!G212+'Achalandage 2021'!G221+'Achalandage 2021'!G230+'Achalandage 2021'!G239+'Achalandage 2021'!G248+'Achalandage 2021'!G257+'Achalandage 2021'!G267+'Achalandage 2021'!G276+'Achalandage 2021'!G285+'Achalandage 2021'!G294+'Achalandage 2021'!G303+'Achalandage 2021'!G312+'Achalandage 2021'!G321+'Achalandage 2021'!G331+'Achalandage 2021'!G340+'Achalandage 2021'!G349+'Achalandage 2021'!G358+'Achalandage 2021'!G367+'Achalandage 2021'!G376+'Achalandage 2021'!G385</f>
        <v>0</v>
      </c>
      <c r="H11" s="69">
        <f>+'Achalandage 2021'!H11+'Achalandage 2021'!H20+'Achalandage 2021'!H29+'Achalandage 2021'!H38+'Achalandage 2021'!H47+'Achalandage 2021'!H56+'Achalandage 2021'!H65+'Achalandage 2021'!H75+'Achalandage 2021'!H84+'Achalandage 2021'!H93+'Achalandage 2021'!H102+'Achalandage 2021'!H111+'Achalandage 2021'!H120+'Achalandage 2021'!H129+'Achalandage 2021'!H139+'Achalandage 2021'!H148+'Achalandage 2021'!H157+'Achalandage 2021'!H166+'Achalandage 2021'!H175+'Achalandage 2021'!H184+'Achalandage 2021'!H193+'Achalandage 2021'!H203+'Achalandage 2021'!H212+'Achalandage 2021'!H221+'Achalandage 2021'!H230+'Achalandage 2021'!H239+'Achalandage 2021'!H248+'Achalandage 2021'!H257+'Achalandage 2021'!H267+'Achalandage 2021'!H276+'Achalandage 2021'!H285+'Achalandage 2021'!H294+'Achalandage 2021'!H303+'Achalandage 2021'!H312+'Achalandage 2021'!H321+'Achalandage 2021'!H331+'Achalandage 2021'!H340+'Achalandage 2021'!H349+'Achalandage 2021'!H358+'Achalandage 2021'!H367+'Achalandage 2021'!H376+'Achalandage 2021'!H385</f>
        <v>0</v>
      </c>
      <c r="I11" s="69">
        <f>+'Achalandage 2021'!I11+'Achalandage 2021'!I20+'Achalandage 2021'!I29+'Achalandage 2021'!I38+'Achalandage 2021'!I47+'Achalandage 2021'!I56+'Achalandage 2021'!I65+'Achalandage 2021'!I75+'Achalandage 2021'!I84+'Achalandage 2021'!I93+'Achalandage 2021'!I102+'Achalandage 2021'!I111+'Achalandage 2021'!I120+'Achalandage 2021'!I129+'Achalandage 2021'!I139+'Achalandage 2021'!I148+'Achalandage 2021'!I157+'Achalandage 2021'!I166+'Achalandage 2021'!I175+'Achalandage 2021'!I184+'Achalandage 2021'!I193+'Achalandage 2021'!I203+'Achalandage 2021'!I212+'Achalandage 2021'!I221+'Achalandage 2021'!I230+'Achalandage 2021'!I239+'Achalandage 2021'!I248+'Achalandage 2021'!I257+'Achalandage 2021'!I267+'Achalandage 2021'!I276+'Achalandage 2021'!I285+'Achalandage 2021'!I294+'Achalandage 2021'!I303+'Achalandage 2021'!I312+'Achalandage 2021'!I321+'Achalandage 2021'!I331+'Achalandage 2021'!I340+'Achalandage 2021'!I349+'Achalandage 2021'!I358+'Achalandage 2021'!I367+'Achalandage 2021'!I376+'Achalandage 2021'!I385</f>
        <v>0</v>
      </c>
      <c r="J11" s="69">
        <f>+'Achalandage 2021'!J11+'Achalandage 2021'!J20+'Achalandage 2021'!J29+'Achalandage 2021'!J38+'Achalandage 2021'!J47+'Achalandage 2021'!J56+'Achalandage 2021'!J65+'Achalandage 2021'!J75+'Achalandage 2021'!J84+'Achalandage 2021'!J93+'Achalandage 2021'!J102+'Achalandage 2021'!J111+'Achalandage 2021'!J120+'Achalandage 2021'!J129+'Achalandage 2021'!J139+'Achalandage 2021'!J148+'Achalandage 2021'!J157+'Achalandage 2021'!J166+'Achalandage 2021'!J175+'Achalandage 2021'!J184+'Achalandage 2021'!J193+'Achalandage 2021'!J203+'Achalandage 2021'!J212+'Achalandage 2021'!J221+'Achalandage 2021'!J230+'Achalandage 2021'!J239+'Achalandage 2021'!J248+'Achalandage 2021'!J257+'Achalandage 2021'!J267+'Achalandage 2021'!J276+'Achalandage 2021'!J285+'Achalandage 2021'!J294+'Achalandage 2021'!J303+'Achalandage 2021'!J312+'Achalandage 2021'!J321+'Achalandage 2021'!J331+'Achalandage 2021'!J340+'Achalandage 2021'!J349+'Achalandage 2021'!J358+'Achalandage 2021'!J367+'Achalandage 2021'!J376+'Achalandage 2021'!J385</f>
        <v>0</v>
      </c>
      <c r="K11" s="69">
        <f>+'Achalandage 2021'!K11+'Achalandage 2021'!K20+'Achalandage 2021'!K29+'Achalandage 2021'!K38+'Achalandage 2021'!K47+'Achalandage 2021'!K56+'Achalandage 2021'!K65+'Achalandage 2021'!K75+'Achalandage 2021'!K84+'Achalandage 2021'!K93+'Achalandage 2021'!K102+'Achalandage 2021'!K111+'Achalandage 2021'!K120+'Achalandage 2021'!K129+'Achalandage 2021'!K139+'Achalandage 2021'!K148+'Achalandage 2021'!K157+'Achalandage 2021'!K166+'Achalandage 2021'!K175+'Achalandage 2021'!K184+'Achalandage 2021'!K193+'Achalandage 2021'!K203+'Achalandage 2021'!K212+'Achalandage 2021'!K221+'Achalandage 2021'!K230+'Achalandage 2021'!K239+'Achalandage 2021'!K248+'Achalandage 2021'!K257+'Achalandage 2021'!K267+'Achalandage 2021'!K276+'Achalandage 2021'!K285+'Achalandage 2021'!K294+'Achalandage 2021'!K303+'Achalandage 2021'!K312+'Achalandage 2021'!K321+'Achalandage 2021'!K331+'Achalandage 2021'!K340+'Achalandage 2021'!K349+'Achalandage 2021'!K358+'Achalandage 2021'!K367+'Achalandage 2021'!K376+'Achalandage 2021'!K385</f>
        <v>0</v>
      </c>
      <c r="L11" s="69">
        <f>+'Achalandage 2021'!L11+'Achalandage 2021'!L20+'Achalandage 2021'!L29+'Achalandage 2021'!L38+'Achalandage 2021'!L47+'Achalandage 2021'!L56+'Achalandage 2021'!L65+'Achalandage 2021'!L75+'Achalandage 2021'!L84+'Achalandage 2021'!L93+'Achalandage 2021'!L102+'Achalandage 2021'!L111+'Achalandage 2021'!L120+'Achalandage 2021'!L129+'Achalandage 2021'!L139+'Achalandage 2021'!L148+'Achalandage 2021'!L157+'Achalandage 2021'!L166+'Achalandage 2021'!L175+'Achalandage 2021'!L184+'Achalandage 2021'!L193+'Achalandage 2021'!L203+'Achalandage 2021'!L212+'Achalandage 2021'!L221+'Achalandage 2021'!L230+'Achalandage 2021'!L239+'Achalandage 2021'!L248+'Achalandage 2021'!L257+'Achalandage 2021'!L267+'Achalandage 2021'!L276+'Achalandage 2021'!L285+'Achalandage 2021'!L294+'Achalandage 2021'!L303+'Achalandage 2021'!L312+'Achalandage 2021'!L321+'Achalandage 2021'!L331+'Achalandage 2021'!L340+'Achalandage 2021'!L349+'Achalandage 2021'!L358+'Achalandage 2021'!L367+'Achalandage 2021'!L376+'Achalandage 2021'!L385</f>
        <v>0</v>
      </c>
      <c r="M11" s="69">
        <f>+'Achalandage 2021'!M11+'Achalandage 2021'!M20+'Achalandage 2021'!M29+'Achalandage 2021'!M38+'Achalandage 2021'!M47+'Achalandage 2021'!M56+'Achalandage 2021'!M65+'Achalandage 2021'!M75+'Achalandage 2021'!M84+'Achalandage 2021'!M93+'Achalandage 2021'!M102+'Achalandage 2021'!M111+'Achalandage 2021'!M120+'Achalandage 2021'!M129+'Achalandage 2021'!M139+'Achalandage 2021'!M148+'Achalandage 2021'!M157+'Achalandage 2021'!M166+'Achalandage 2021'!M175+'Achalandage 2021'!M184+'Achalandage 2021'!M193+'Achalandage 2021'!M203+'Achalandage 2021'!M212+'Achalandage 2021'!M221+'Achalandage 2021'!M230+'Achalandage 2021'!M239+'Achalandage 2021'!M248+'Achalandage 2021'!M257+'Achalandage 2021'!M267+'Achalandage 2021'!M276+'Achalandage 2021'!M285+'Achalandage 2021'!M294+'Achalandage 2021'!M303+'Achalandage 2021'!M312+'Achalandage 2021'!M321+'Achalandage 2021'!M331+'Achalandage 2021'!M340+'Achalandage 2021'!M349+'Achalandage 2021'!M358+'Achalandage 2021'!M367+'Achalandage 2021'!M376+'Achalandage 2021'!M385</f>
        <v>0</v>
      </c>
      <c r="N11" s="69">
        <f>+'Achalandage 2021'!N11+'Achalandage 2021'!N20+'Achalandage 2021'!N29+'Achalandage 2021'!N38+'Achalandage 2021'!N47+'Achalandage 2021'!N56+'Achalandage 2021'!N65+'Achalandage 2021'!N75+'Achalandage 2021'!N84+'Achalandage 2021'!N93+'Achalandage 2021'!N102+'Achalandage 2021'!N111+'Achalandage 2021'!N120+'Achalandage 2021'!N129+'Achalandage 2021'!N139+'Achalandage 2021'!N148+'Achalandage 2021'!N157+'Achalandage 2021'!N166+'Achalandage 2021'!N175+'Achalandage 2021'!N184+'Achalandage 2021'!N193+'Achalandage 2021'!N203+'Achalandage 2021'!N212+'Achalandage 2021'!N221+'Achalandage 2021'!N230+'Achalandage 2021'!N239+'Achalandage 2021'!N248+'Achalandage 2021'!N257+'Achalandage 2021'!N267+'Achalandage 2021'!N276+'Achalandage 2021'!N285+'Achalandage 2021'!N294+'Achalandage 2021'!N303+'Achalandage 2021'!N312+'Achalandage 2021'!N321+'Achalandage 2021'!N331+'Achalandage 2021'!N340+'Achalandage 2021'!N349+'Achalandage 2021'!N358+'Achalandage 2021'!N367+'Achalandage 2021'!N376+'Achalandage 2021'!N385</f>
        <v>0</v>
      </c>
      <c r="O11" s="69">
        <f>+'Achalandage 2021'!O11+'Achalandage 2021'!O20+'Achalandage 2021'!O29+'Achalandage 2021'!O38+'Achalandage 2021'!O47+'Achalandage 2021'!O56+'Achalandage 2021'!O65+'Achalandage 2021'!O75+'Achalandage 2021'!O84+'Achalandage 2021'!O93+'Achalandage 2021'!O102+'Achalandage 2021'!O111+'Achalandage 2021'!O120+'Achalandage 2021'!O129+'Achalandage 2021'!O139+'Achalandage 2021'!O148+'Achalandage 2021'!O157+'Achalandage 2021'!O166+'Achalandage 2021'!O175+'Achalandage 2021'!O184+'Achalandage 2021'!O193+'Achalandage 2021'!O203+'Achalandage 2021'!O212+'Achalandage 2021'!O221+'Achalandage 2021'!O230+'Achalandage 2021'!O239+'Achalandage 2021'!O248+'Achalandage 2021'!O257+'Achalandage 2021'!O267+'Achalandage 2021'!O276+'Achalandage 2021'!O285+'Achalandage 2021'!O294+'Achalandage 2021'!O303+'Achalandage 2021'!O312+'Achalandage 2021'!O321+'Achalandage 2021'!O331+'Achalandage 2021'!O340+'Achalandage 2021'!O349+'Achalandage 2021'!O358+'Achalandage 2021'!O367+'Achalandage 2021'!O376+'Achalandage 2021'!O385</f>
        <v>0</v>
      </c>
      <c r="P11" s="66">
        <f>+D11+E11+F11+G11+H11+I11+J11+K11+L11+M11+N11+O11</f>
        <v>0</v>
      </c>
    </row>
    <row r="12" spans="2:16" x14ac:dyDescent="0.15">
      <c r="B12" s="101">
        <v>2</v>
      </c>
      <c r="C12" s="102" t="s">
        <v>4</v>
      </c>
      <c r="D12" s="70">
        <f>+'Achalandage 2021'!D12+'Achalandage 2021'!D21+'Achalandage 2021'!D30+'Achalandage 2021'!D39+'Achalandage 2021'!D48+'Achalandage 2021'!D57+'Achalandage 2021'!D66+'Achalandage 2021'!D76+'Achalandage 2021'!D85+'Achalandage 2021'!D94+'Achalandage 2021'!D103+'Achalandage 2021'!D112+'Achalandage 2021'!D121+'Achalandage 2021'!D130+'Achalandage 2021'!D140+'Achalandage 2021'!D149+'Achalandage 2021'!D158+'Achalandage 2021'!D167+'Achalandage 2021'!D176+'Achalandage 2021'!D185+'Achalandage 2021'!D194+'Achalandage 2021'!D204+'Achalandage 2021'!D213+'Achalandage 2021'!D222+'Achalandage 2021'!D231+'Achalandage 2021'!D240+'Achalandage 2021'!D249+'Achalandage 2021'!D258+'Achalandage 2021'!D268+'Achalandage 2021'!D277+'Achalandage 2021'!D286+'Achalandage 2021'!D295+'Achalandage 2021'!D304+'Achalandage 2021'!D313+'Achalandage 2021'!D322+'Achalandage 2021'!D332+'Achalandage 2021'!D341+'Achalandage 2021'!D350+'Achalandage 2021'!D359+'Achalandage 2021'!D368+'Achalandage 2021'!D377+'Achalandage 2021'!D386</f>
        <v>310</v>
      </c>
      <c r="E12" s="70">
        <f>+'Achalandage 2021'!E12+'Achalandage 2021'!E21+'Achalandage 2021'!E30+'Achalandage 2021'!E39+'Achalandage 2021'!E48+'Achalandage 2021'!E57+'Achalandage 2021'!E66+'Achalandage 2021'!E76+'Achalandage 2021'!E85+'Achalandage 2021'!E94+'Achalandage 2021'!E103+'Achalandage 2021'!E112+'Achalandage 2021'!E121+'Achalandage 2021'!E130+'Achalandage 2021'!E140+'Achalandage 2021'!E149+'Achalandage 2021'!E158+'Achalandage 2021'!E167+'Achalandage 2021'!E176+'Achalandage 2021'!E185+'Achalandage 2021'!E194+'Achalandage 2021'!E204+'Achalandage 2021'!E213+'Achalandage 2021'!E222+'Achalandage 2021'!E231+'Achalandage 2021'!E240+'Achalandage 2021'!E249+'Achalandage 2021'!E258+'Achalandage 2021'!E268+'Achalandage 2021'!E277+'Achalandage 2021'!E286+'Achalandage 2021'!E295+'Achalandage 2021'!E304+'Achalandage 2021'!E313+'Achalandage 2021'!E322+'Achalandage 2021'!E332+'Achalandage 2021'!E341+'Achalandage 2021'!E350+'Achalandage 2021'!E359+'Achalandage 2021'!E368+'Achalandage 2021'!E377+'Achalandage 2021'!E386</f>
        <v>252</v>
      </c>
      <c r="F12" s="70">
        <f>+'Achalandage 2021'!F12+'Achalandage 2021'!F21+'Achalandage 2021'!F30+'Achalandage 2021'!F39+'Achalandage 2021'!F48+'Achalandage 2021'!F57+'Achalandage 2021'!F66+'Achalandage 2021'!F76+'Achalandage 2021'!F85+'Achalandage 2021'!F94+'Achalandage 2021'!F103+'Achalandage 2021'!F112+'Achalandage 2021'!F121+'Achalandage 2021'!F130+'Achalandage 2021'!F140+'Achalandage 2021'!F149+'Achalandage 2021'!F158+'Achalandage 2021'!F167+'Achalandage 2021'!F176+'Achalandage 2021'!F185+'Achalandage 2021'!F194+'Achalandage 2021'!F204+'Achalandage 2021'!F213+'Achalandage 2021'!F222+'Achalandage 2021'!F231+'Achalandage 2021'!F240+'Achalandage 2021'!F249+'Achalandage 2021'!F258+'Achalandage 2021'!F268+'Achalandage 2021'!F277+'Achalandage 2021'!F286+'Achalandage 2021'!F295+'Achalandage 2021'!F304+'Achalandage 2021'!F313+'Achalandage 2021'!F322+'Achalandage 2021'!F332+'Achalandage 2021'!F341+'Achalandage 2021'!F350+'Achalandage 2021'!F359+'Achalandage 2021'!F368+'Achalandage 2021'!F377+'Achalandage 2021'!F386</f>
        <v>310</v>
      </c>
      <c r="G12" s="70">
        <f>+'Achalandage 2021'!G12+'Achalandage 2021'!G21+'Achalandage 2021'!G30+'Achalandage 2021'!G39+'Achalandage 2021'!G48+'Achalandage 2021'!G57+'Achalandage 2021'!G66+'Achalandage 2021'!G76+'Achalandage 2021'!G85+'Achalandage 2021'!G94+'Achalandage 2021'!G103+'Achalandage 2021'!G112+'Achalandage 2021'!G121+'Achalandage 2021'!G130+'Achalandage 2021'!G140+'Achalandage 2021'!G149+'Achalandage 2021'!G158+'Achalandage 2021'!G167+'Achalandage 2021'!G176+'Achalandage 2021'!G185+'Achalandage 2021'!G194+'Achalandage 2021'!G204+'Achalandage 2021'!G213+'Achalandage 2021'!G222+'Achalandage 2021'!G231+'Achalandage 2021'!G240+'Achalandage 2021'!G249+'Achalandage 2021'!G258+'Achalandage 2021'!G268+'Achalandage 2021'!G277+'Achalandage 2021'!G286+'Achalandage 2021'!G295+'Achalandage 2021'!G304+'Achalandage 2021'!G313+'Achalandage 2021'!G322+'Achalandage 2021'!G332+'Achalandage 2021'!G341+'Achalandage 2021'!G350+'Achalandage 2021'!G359+'Achalandage 2021'!G368+'Achalandage 2021'!G377+'Achalandage 2021'!G386</f>
        <v>330</v>
      </c>
      <c r="H12" s="70">
        <f>+'Achalandage 2021'!H12+'Achalandage 2021'!H21+'Achalandage 2021'!H30+'Achalandage 2021'!H39+'Achalandage 2021'!H48+'Achalandage 2021'!H57+'Achalandage 2021'!H66+'Achalandage 2021'!H76+'Achalandage 2021'!H85+'Achalandage 2021'!H94+'Achalandage 2021'!H103+'Achalandage 2021'!H112+'Achalandage 2021'!H121+'Achalandage 2021'!H130+'Achalandage 2021'!H140+'Achalandage 2021'!H149+'Achalandage 2021'!H158+'Achalandage 2021'!H167+'Achalandage 2021'!H176+'Achalandage 2021'!H185+'Achalandage 2021'!H194+'Achalandage 2021'!H204+'Achalandage 2021'!H213+'Achalandage 2021'!H222+'Achalandage 2021'!H231+'Achalandage 2021'!H240+'Achalandage 2021'!H249+'Achalandage 2021'!H258+'Achalandage 2021'!H268+'Achalandage 2021'!H277+'Achalandage 2021'!H286+'Achalandage 2021'!H295+'Achalandage 2021'!H304+'Achalandage 2021'!H313+'Achalandage 2021'!H322+'Achalandage 2021'!H332+'Achalandage 2021'!H341+'Achalandage 2021'!H350+'Achalandage 2021'!H359+'Achalandage 2021'!H368+'Achalandage 2021'!H377+'Achalandage 2021'!H386</f>
        <v>372</v>
      </c>
      <c r="I12" s="70">
        <f>+'Achalandage 2021'!I12+'Achalandage 2021'!I21+'Achalandage 2021'!I30+'Achalandage 2021'!I39+'Achalandage 2021'!I48+'Achalandage 2021'!I57+'Achalandage 2021'!I66+'Achalandage 2021'!I76+'Achalandage 2021'!I85+'Achalandage 2021'!I94+'Achalandage 2021'!I103+'Achalandage 2021'!I112+'Achalandage 2021'!I121+'Achalandage 2021'!I130+'Achalandage 2021'!I140+'Achalandage 2021'!I149+'Achalandage 2021'!I158+'Achalandage 2021'!I167+'Achalandage 2021'!I176+'Achalandage 2021'!I185+'Achalandage 2021'!I194+'Achalandage 2021'!I204+'Achalandage 2021'!I213+'Achalandage 2021'!I222+'Achalandage 2021'!I231+'Achalandage 2021'!I240+'Achalandage 2021'!I249+'Achalandage 2021'!I258+'Achalandage 2021'!I268+'Achalandage 2021'!I277+'Achalandage 2021'!I286+'Achalandage 2021'!I295+'Achalandage 2021'!I304+'Achalandage 2021'!I313+'Achalandage 2021'!I322+'Achalandage 2021'!I332+'Achalandage 2021'!I341+'Achalandage 2021'!I350+'Achalandage 2021'!I359+'Achalandage 2021'!I368+'Achalandage 2021'!I377+'Achalandage 2021'!I386</f>
        <v>450</v>
      </c>
      <c r="J12" s="70">
        <f>+'Achalandage 2021'!J12+'Achalandage 2021'!J21+'Achalandage 2021'!J30+'Achalandage 2021'!J39+'Achalandage 2021'!J48+'Achalandage 2021'!J57+'Achalandage 2021'!J66+'Achalandage 2021'!J76+'Achalandage 2021'!J85+'Achalandage 2021'!J94+'Achalandage 2021'!J103+'Achalandage 2021'!J112+'Achalandage 2021'!J121+'Achalandage 2021'!J130+'Achalandage 2021'!J140+'Achalandage 2021'!J149+'Achalandage 2021'!J158+'Achalandage 2021'!J167+'Achalandage 2021'!J176+'Achalandage 2021'!J185+'Achalandage 2021'!J194+'Achalandage 2021'!J204+'Achalandage 2021'!J213+'Achalandage 2021'!J222+'Achalandage 2021'!J231+'Achalandage 2021'!J240+'Achalandage 2021'!J249+'Achalandage 2021'!J258+'Achalandage 2021'!J268+'Achalandage 2021'!J277+'Achalandage 2021'!J286+'Achalandage 2021'!J295+'Achalandage 2021'!J304+'Achalandage 2021'!J313+'Achalandage 2021'!J322+'Achalandage 2021'!J332+'Achalandage 2021'!J341+'Achalandage 2021'!J350+'Achalandage 2021'!J359+'Achalandage 2021'!J368+'Achalandage 2021'!J377+'Achalandage 2021'!J386</f>
        <v>620</v>
      </c>
      <c r="K12" s="70">
        <f>+'Achalandage 2021'!K12+'Achalandage 2021'!K21+'Achalandage 2021'!K30+'Achalandage 2021'!K39+'Achalandage 2021'!K48+'Achalandage 2021'!K57+'Achalandage 2021'!K66+'Achalandage 2021'!K76+'Achalandage 2021'!K85+'Achalandage 2021'!K94+'Achalandage 2021'!K103+'Achalandage 2021'!K112+'Achalandage 2021'!K121+'Achalandage 2021'!K130+'Achalandage 2021'!K140+'Achalandage 2021'!K149+'Achalandage 2021'!K158+'Achalandage 2021'!K167+'Achalandage 2021'!K176+'Achalandage 2021'!K185+'Achalandage 2021'!K194+'Achalandage 2021'!K204+'Achalandage 2021'!K213+'Achalandage 2021'!K222+'Achalandage 2021'!K231+'Achalandage 2021'!K240+'Achalandage 2021'!K249+'Achalandage 2021'!K258+'Achalandage 2021'!K268+'Achalandage 2021'!K277+'Achalandage 2021'!K286+'Achalandage 2021'!K295+'Achalandage 2021'!K304+'Achalandage 2021'!K313+'Achalandage 2021'!K322+'Achalandage 2021'!K332+'Achalandage 2021'!K341+'Achalandage 2021'!K350+'Achalandage 2021'!K359+'Achalandage 2021'!K368+'Achalandage 2021'!K377+'Achalandage 2021'!K386</f>
        <v>558</v>
      </c>
      <c r="L12" s="70">
        <f>+'Achalandage 2021'!L12+'Achalandage 2021'!L21+'Achalandage 2021'!L30+'Achalandage 2021'!L39+'Achalandage 2021'!L48+'Achalandage 2021'!L57+'Achalandage 2021'!L66+'Achalandage 2021'!L76+'Achalandage 2021'!L85+'Achalandage 2021'!L94+'Achalandage 2021'!L103+'Achalandage 2021'!L112+'Achalandage 2021'!L121+'Achalandage 2021'!L130+'Achalandage 2021'!L140+'Achalandage 2021'!L149+'Achalandage 2021'!L158+'Achalandage 2021'!L167+'Achalandage 2021'!L176+'Achalandage 2021'!L185+'Achalandage 2021'!L194+'Achalandage 2021'!L204+'Achalandage 2021'!L213+'Achalandage 2021'!L222+'Achalandage 2021'!L231+'Achalandage 2021'!L240+'Achalandage 2021'!L249+'Achalandage 2021'!L258+'Achalandage 2021'!L268+'Achalandage 2021'!L277+'Achalandage 2021'!L286+'Achalandage 2021'!L295+'Achalandage 2021'!L304+'Achalandage 2021'!L313+'Achalandage 2021'!L322+'Achalandage 2021'!L332+'Achalandage 2021'!L341+'Achalandage 2021'!L350+'Achalandage 2021'!L359+'Achalandage 2021'!L368+'Achalandage 2021'!L377+'Achalandage 2021'!L386</f>
        <v>360</v>
      </c>
      <c r="M12" s="70">
        <f>+'Achalandage 2021'!M12+'Achalandage 2021'!M21+'Achalandage 2021'!M30+'Achalandage 2021'!M39+'Achalandage 2021'!M48+'Achalandage 2021'!M57+'Achalandage 2021'!M66+'Achalandage 2021'!M76+'Achalandage 2021'!M85+'Achalandage 2021'!M94+'Achalandage 2021'!M103+'Achalandage 2021'!M112+'Achalandage 2021'!M121+'Achalandage 2021'!M130+'Achalandage 2021'!M140+'Achalandage 2021'!M149+'Achalandage 2021'!M158+'Achalandage 2021'!M167+'Achalandage 2021'!M176+'Achalandage 2021'!M185+'Achalandage 2021'!M194+'Achalandage 2021'!M204+'Achalandage 2021'!M213+'Achalandage 2021'!M222+'Achalandage 2021'!M231+'Achalandage 2021'!M240+'Achalandage 2021'!M249+'Achalandage 2021'!M258+'Achalandage 2021'!M268+'Achalandage 2021'!M277+'Achalandage 2021'!M286+'Achalandage 2021'!M295+'Achalandage 2021'!M304+'Achalandage 2021'!M313+'Achalandage 2021'!M322+'Achalandage 2021'!M332+'Achalandage 2021'!M341+'Achalandage 2021'!M350+'Achalandage 2021'!M359+'Achalandage 2021'!M368+'Achalandage 2021'!M377+'Achalandage 2021'!M386</f>
        <v>341</v>
      </c>
      <c r="N12" s="70">
        <f>+'Achalandage 2021'!N12+'Achalandage 2021'!N21+'Achalandage 2021'!N30+'Achalandage 2021'!N39+'Achalandage 2021'!N48+'Achalandage 2021'!N57+'Achalandage 2021'!N66+'Achalandage 2021'!N76+'Achalandage 2021'!N85+'Achalandage 2021'!N94+'Achalandage 2021'!N103+'Achalandage 2021'!N112+'Achalandage 2021'!N121+'Achalandage 2021'!N130+'Achalandage 2021'!N140+'Achalandage 2021'!N149+'Achalandage 2021'!N158+'Achalandage 2021'!N167+'Achalandage 2021'!N176+'Achalandage 2021'!N185+'Achalandage 2021'!N194+'Achalandage 2021'!N204+'Achalandage 2021'!N213+'Achalandage 2021'!N222+'Achalandage 2021'!N231+'Achalandage 2021'!N240+'Achalandage 2021'!N249+'Achalandage 2021'!N258+'Achalandage 2021'!N268+'Achalandage 2021'!N277+'Achalandage 2021'!N286+'Achalandage 2021'!N295+'Achalandage 2021'!N304+'Achalandage 2021'!N313+'Achalandage 2021'!N322+'Achalandage 2021'!N332+'Achalandage 2021'!N341+'Achalandage 2021'!N350+'Achalandage 2021'!N359+'Achalandage 2021'!N368+'Achalandage 2021'!N377+'Achalandage 2021'!N386</f>
        <v>300</v>
      </c>
      <c r="O12" s="70">
        <f>+'Achalandage 2021'!O12+'Achalandage 2021'!O21+'Achalandage 2021'!O30+'Achalandage 2021'!O39+'Achalandage 2021'!O48+'Achalandage 2021'!O57+'Achalandage 2021'!O66+'Achalandage 2021'!O76+'Achalandage 2021'!O85+'Achalandage 2021'!O94+'Achalandage 2021'!O103+'Achalandage 2021'!O112+'Achalandage 2021'!O121+'Achalandage 2021'!O130+'Achalandage 2021'!O140+'Achalandage 2021'!O149+'Achalandage 2021'!O158+'Achalandage 2021'!O167+'Achalandage 2021'!O176+'Achalandage 2021'!O185+'Achalandage 2021'!O194+'Achalandage 2021'!O204+'Achalandage 2021'!O213+'Achalandage 2021'!O222+'Achalandage 2021'!O231+'Achalandage 2021'!O240+'Achalandage 2021'!O249+'Achalandage 2021'!O258+'Achalandage 2021'!O268+'Achalandage 2021'!O277+'Achalandage 2021'!O286+'Achalandage 2021'!O295+'Achalandage 2021'!O304+'Achalandage 2021'!O313+'Achalandage 2021'!O322+'Achalandage 2021'!O332+'Achalandage 2021'!O341+'Achalandage 2021'!O350+'Achalandage 2021'!O359+'Achalandage 2021'!O368+'Achalandage 2021'!O377+'Achalandage 2021'!O386</f>
        <v>372</v>
      </c>
      <c r="P12" s="67">
        <f>+D12+E12+F12+G12+H12+I12+J12+K12+L12+M12+N12+O12</f>
        <v>4575</v>
      </c>
    </row>
    <row r="13" spans="2:16" ht="13" customHeight="1" x14ac:dyDescent="0.15">
      <c r="B13" s="101">
        <v>3</v>
      </c>
      <c r="C13" s="102" t="s">
        <v>5</v>
      </c>
      <c r="D13" s="70">
        <f>+'Achalandage 2021'!D13+'Achalandage 2021'!D22+'Achalandage 2021'!D31+'Achalandage 2021'!D40+'Achalandage 2021'!D49+'Achalandage 2021'!D58+'Achalandage 2021'!D67+'Achalandage 2021'!D77+'Achalandage 2021'!D86+'Achalandage 2021'!D95+'Achalandage 2021'!D104+'Achalandage 2021'!D113+'Achalandage 2021'!D122+'Achalandage 2021'!D131+'Achalandage 2021'!D141+'Achalandage 2021'!D150+'Achalandage 2021'!D159+'Achalandage 2021'!D168+'Achalandage 2021'!D177+'Achalandage 2021'!D186+'Achalandage 2021'!D195+'Achalandage 2021'!D205+'Achalandage 2021'!D214+'Achalandage 2021'!D223+'Achalandage 2021'!D232+'Achalandage 2021'!D241+'Achalandage 2021'!D250+'Achalandage 2021'!D259+'Achalandage 2021'!D269+'Achalandage 2021'!D278+'Achalandage 2021'!D287+'Achalandage 2021'!D296+'Achalandage 2021'!D305+'Achalandage 2021'!D314+'Achalandage 2021'!D323+'Achalandage 2021'!D333+'Achalandage 2021'!D342+'Achalandage 2021'!D351+'Achalandage 2021'!D360+'Achalandage 2021'!D369+'Achalandage 2021'!D378+'Achalandage 2021'!D387</f>
        <v>310</v>
      </c>
      <c r="E13" s="70">
        <f>+'Achalandage 2021'!E13+'Achalandage 2021'!E22+'Achalandage 2021'!E31+'Achalandage 2021'!E40+'Achalandage 2021'!E49+'Achalandage 2021'!E58+'Achalandage 2021'!E67+'Achalandage 2021'!E77+'Achalandage 2021'!E86+'Achalandage 2021'!E95+'Achalandage 2021'!E104+'Achalandage 2021'!E113+'Achalandage 2021'!E122+'Achalandage 2021'!E131+'Achalandage 2021'!E141+'Achalandage 2021'!E150+'Achalandage 2021'!E159+'Achalandage 2021'!E168+'Achalandage 2021'!E177+'Achalandage 2021'!E186+'Achalandage 2021'!E195+'Achalandage 2021'!E205+'Achalandage 2021'!E214+'Achalandage 2021'!E223+'Achalandage 2021'!E232+'Achalandage 2021'!E241+'Achalandage 2021'!E250+'Achalandage 2021'!E259+'Achalandage 2021'!E269+'Achalandage 2021'!E278+'Achalandage 2021'!E287+'Achalandage 2021'!E296+'Achalandage 2021'!E305+'Achalandage 2021'!E314+'Achalandage 2021'!E323+'Achalandage 2021'!E333+'Achalandage 2021'!E342+'Achalandage 2021'!E351+'Achalandage 2021'!E360+'Achalandage 2021'!E369+'Achalandage 2021'!E378+'Achalandage 2021'!E387</f>
        <v>252</v>
      </c>
      <c r="F13" s="70">
        <f>+'Achalandage 2021'!F13+'Achalandage 2021'!F22+'Achalandage 2021'!F31+'Achalandage 2021'!F40+'Achalandage 2021'!F49+'Achalandage 2021'!F58+'Achalandage 2021'!F67+'Achalandage 2021'!F77+'Achalandage 2021'!F86+'Achalandage 2021'!F95+'Achalandage 2021'!F104+'Achalandage 2021'!F113+'Achalandage 2021'!F122+'Achalandage 2021'!F131+'Achalandage 2021'!F141+'Achalandage 2021'!F150+'Achalandage 2021'!F159+'Achalandage 2021'!F168+'Achalandage 2021'!F177+'Achalandage 2021'!F186+'Achalandage 2021'!F195+'Achalandage 2021'!F205+'Achalandage 2021'!F214+'Achalandage 2021'!F223+'Achalandage 2021'!F232+'Achalandage 2021'!F241+'Achalandage 2021'!F250+'Achalandage 2021'!F259+'Achalandage 2021'!F269+'Achalandage 2021'!F278+'Achalandage 2021'!F287+'Achalandage 2021'!F296+'Achalandage 2021'!F305+'Achalandage 2021'!F314+'Achalandage 2021'!F323+'Achalandage 2021'!F333+'Achalandage 2021'!F342+'Achalandage 2021'!F351+'Achalandage 2021'!F360+'Achalandage 2021'!F369+'Achalandage 2021'!F378+'Achalandage 2021'!F387</f>
        <v>310</v>
      </c>
      <c r="G13" s="70">
        <f>+'Achalandage 2021'!G13+'Achalandage 2021'!G22+'Achalandage 2021'!G31+'Achalandage 2021'!G40+'Achalandage 2021'!G49+'Achalandage 2021'!G58+'Achalandage 2021'!G67+'Achalandage 2021'!G77+'Achalandage 2021'!G86+'Achalandage 2021'!G95+'Achalandage 2021'!G104+'Achalandage 2021'!G113+'Achalandage 2021'!G122+'Achalandage 2021'!G131+'Achalandage 2021'!G141+'Achalandage 2021'!G150+'Achalandage 2021'!G159+'Achalandage 2021'!G168+'Achalandage 2021'!G177+'Achalandage 2021'!G186+'Achalandage 2021'!G195+'Achalandage 2021'!G205+'Achalandage 2021'!G214+'Achalandage 2021'!G223+'Achalandage 2021'!G232+'Achalandage 2021'!G241+'Achalandage 2021'!G250+'Achalandage 2021'!G259+'Achalandage 2021'!G269+'Achalandage 2021'!G278+'Achalandage 2021'!G287+'Achalandage 2021'!G296+'Achalandage 2021'!G305+'Achalandage 2021'!G314+'Achalandage 2021'!G323+'Achalandage 2021'!G333+'Achalandage 2021'!G342+'Achalandage 2021'!G351+'Achalandage 2021'!G360+'Achalandage 2021'!G369+'Achalandage 2021'!G378+'Achalandage 2021'!G387</f>
        <v>330</v>
      </c>
      <c r="H13" s="70">
        <f>+'Achalandage 2021'!H13+'Achalandage 2021'!H22+'Achalandage 2021'!H31+'Achalandage 2021'!H40+'Achalandage 2021'!H49+'Achalandage 2021'!H58+'Achalandage 2021'!H67+'Achalandage 2021'!H77+'Achalandage 2021'!H86+'Achalandage 2021'!H95+'Achalandage 2021'!H104+'Achalandage 2021'!H113+'Achalandage 2021'!H122+'Achalandage 2021'!H131+'Achalandage 2021'!H141+'Achalandage 2021'!H150+'Achalandage 2021'!H159+'Achalandage 2021'!H168+'Achalandage 2021'!H177+'Achalandage 2021'!H186+'Achalandage 2021'!H195+'Achalandage 2021'!H205+'Achalandage 2021'!H214+'Achalandage 2021'!H223+'Achalandage 2021'!H232+'Achalandage 2021'!H241+'Achalandage 2021'!H250+'Achalandage 2021'!H259+'Achalandage 2021'!H269+'Achalandage 2021'!H278+'Achalandage 2021'!H287+'Achalandage 2021'!H296+'Achalandage 2021'!H305+'Achalandage 2021'!H314+'Achalandage 2021'!H323+'Achalandage 2021'!H333+'Achalandage 2021'!H342+'Achalandage 2021'!H351+'Achalandage 2021'!H360+'Achalandage 2021'!H369+'Achalandage 2021'!H378+'Achalandage 2021'!H387</f>
        <v>372</v>
      </c>
      <c r="I13" s="70">
        <f>+'Achalandage 2021'!I13+'Achalandage 2021'!I22+'Achalandage 2021'!I31+'Achalandage 2021'!I40+'Achalandage 2021'!I49+'Achalandage 2021'!I58+'Achalandage 2021'!I67+'Achalandage 2021'!I77+'Achalandage 2021'!I86+'Achalandage 2021'!I95+'Achalandage 2021'!I104+'Achalandage 2021'!I113+'Achalandage 2021'!I122+'Achalandage 2021'!I131+'Achalandage 2021'!I141+'Achalandage 2021'!I150+'Achalandage 2021'!I159+'Achalandage 2021'!I168+'Achalandage 2021'!I177+'Achalandage 2021'!I186+'Achalandage 2021'!I195+'Achalandage 2021'!I205+'Achalandage 2021'!I214+'Achalandage 2021'!I223+'Achalandage 2021'!I232+'Achalandage 2021'!I241+'Achalandage 2021'!I250+'Achalandage 2021'!I259+'Achalandage 2021'!I269+'Achalandage 2021'!I278+'Achalandage 2021'!I287+'Achalandage 2021'!I296+'Achalandage 2021'!I305+'Achalandage 2021'!I314+'Achalandage 2021'!I323+'Achalandage 2021'!I333+'Achalandage 2021'!I342+'Achalandage 2021'!I351+'Achalandage 2021'!I360+'Achalandage 2021'!I369+'Achalandage 2021'!I378+'Achalandage 2021'!I387</f>
        <v>450</v>
      </c>
      <c r="J13" s="70">
        <f>+'Achalandage 2021'!J13+'Achalandage 2021'!J22+'Achalandage 2021'!J31+'Achalandage 2021'!J40+'Achalandage 2021'!J49+'Achalandage 2021'!J58+'Achalandage 2021'!J67+'Achalandage 2021'!J77+'Achalandage 2021'!J86+'Achalandage 2021'!J95+'Achalandage 2021'!J104+'Achalandage 2021'!J113+'Achalandage 2021'!J122+'Achalandage 2021'!J131+'Achalandage 2021'!J141+'Achalandage 2021'!J150+'Achalandage 2021'!J159+'Achalandage 2021'!J168+'Achalandage 2021'!J177+'Achalandage 2021'!J186+'Achalandage 2021'!J195+'Achalandage 2021'!J205+'Achalandage 2021'!J214+'Achalandage 2021'!J223+'Achalandage 2021'!J232+'Achalandage 2021'!J241+'Achalandage 2021'!J250+'Achalandage 2021'!J259+'Achalandage 2021'!J269+'Achalandage 2021'!J278+'Achalandage 2021'!J287+'Achalandage 2021'!J296+'Achalandage 2021'!J305+'Achalandage 2021'!J314+'Achalandage 2021'!J323+'Achalandage 2021'!J333+'Achalandage 2021'!J342+'Achalandage 2021'!J351+'Achalandage 2021'!J360+'Achalandage 2021'!J369+'Achalandage 2021'!J378+'Achalandage 2021'!J387</f>
        <v>620</v>
      </c>
      <c r="K13" s="70">
        <f>+'Achalandage 2021'!K13+'Achalandage 2021'!K22+'Achalandage 2021'!K31+'Achalandage 2021'!K40+'Achalandage 2021'!K49+'Achalandage 2021'!K58+'Achalandage 2021'!K67+'Achalandage 2021'!K77+'Achalandage 2021'!K86+'Achalandage 2021'!K95+'Achalandage 2021'!K104+'Achalandage 2021'!K113+'Achalandage 2021'!K122+'Achalandage 2021'!K131+'Achalandage 2021'!K141+'Achalandage 2021'!K150+'Achalandage 2021'!K159+'Achalandage 2021'!K168+'Achalandage 2021'!K177+'Achalandage 2021'!K186+'Achalandage 2021'!K195+'Achalandage 2021'!K205+'Achalandage 2021'!K214+'Achalandage 2021'!K223+'Achalandage 2021'!K232+'Achalandage 2021'!K241+'Achalandage 2021'!K250+'Achalandage 2021'!K259+'Achalandage 2021'!K269+'Achalandage 2021'!K278+'Achalandage 2021'!K287+'Achalandage 2021'!K296+'Achalandage 2021'!K305+'Achalandage 2021'!K314+'Achalandage 2021'!K323+'Achalandage 2021'!K333+'Achalandage 2021'!K342+'Achalandage 2021'!K351+'Achalandage 2021'!K360+'Achalandage 2021'!K369+'Achalandage 2021'!K378+'Achalandage 2021'!K387</f>
        <v>558</v>
      </c>
      <c r="L13" s="70">
        <f>+'Achalandage 2021'!L13+'Achalandage 2021'!L22+'Achalandage 2021'!L31+'Achalandage 2021'!L40+'Achalandage 2021'!L49+'Achalandage 2021'!L58+'Achalandage 2021'!L67+'Achalandage 2021'!L77+'Achalandage 2021'!L86+'Achalandage 2021'!L95+'Achalandage 2021'!L104+'Achalandage 2021'!L113+'Achalandage 2021'!L122+'Achalandage 2021'!L131+'Achalandage 2021'!L141+'Achalandage 2021'!L150+'Achalandage 2021'!L159+'Achalandage 2021'!L168+'Achalandage 2021'!L177+'Achalandage 2021'!L186+'Achalandage 2021'!L195+'Achalandage 2021'!L205+'Achalandage 2021'!L214+'Achalandage 2021'!L223+'Achalandage 2021'!L232+'Achalandage 2021'!L241+'Achalandage 2021'!L250+'Achalandage 2021'!L259+'Achalandage 2021'!L269+'Achalandage 2021'!L278+'Achalandage 2021'!L287+'Achalandage 2021'!L296+'Achalandage 2021'!L305+'Achalandage 2021'!L314+'Achalandage 2021'!L323+'Achalandage 2021'!L333+'Achalandage 2021'!L342+'Achalandage 2021'!L351+'Achalandage 2021'!L360+'Achalandage 2021'!L369+'Achalandage 2021'!L378+'Achalandage 2021'!L387</f>
        <v>360</v>
      </c>
      <c r="M13" s="70">
        <f>+'Achalandage 2021'!M13+'Achalandage 2021'!M22+'Achalandage 2021'!M31+'Achalandage 2021'!M40+'Achalandage 2021'!M49+'Achalandage 2021'!M58+'Achalandage 2021'!M67+'Achalandage 2021'!M77+'Achalandage 2021'!M86+'Achalandage 2021'!M95+'Achalandage 2021'!M104+'Achalandage 2021'!M113+'Achalandage 2021'!M122+'Achalandage 2021'!M131+'Achalandage 2021'!M141+'Achalandage 2021'!M150+'Achalandage 2021'!M159+'Achalandage 2021'!M168+'Achalandage 2021'!M177+'Achalandage 2021'!M186+'Achalandage 2021'!M195+'Achalandage 2021'!M205+'Achalandage 2021'!M214+'Achalandage 2021'!M223+'Achalandage 2021'!M232+'Achalandage 2021'!M241+'Achalandage 2021'!M250+'Achalandage 2021'!M259+'Achalandage 2021'!M269+'Achalandage 2021'!M278+'Achalandage 2021'!M287+'Achalandage 2021'!M296+'Achalandage 2021'!M305+'Achalandage 2021'!M314+'Achalandage 2021'!M323+'Achalandage 2021'!M333+'Achalandage 2021'!M342+'Achalandage 2021'!M351+'Achalandage 2021'!M360+'Achalandage 2021'!M369+'Achalandage 2021'!M378+'Achalandage 2021'!M387</f>
        <v>341</v>
      </c>
      <c r="N13" s="70">
        <f>+'Achalandage 2021'!N13+'Achalandage 2021'!N22+'Achalandage 2021'!N31+'Achalandage 2021'!N40+'Achalandage 2021'!N49+'Achalandage 2021'!N58+'Achalandage 2021'!N67+'Achalandage 2021'!N77+'Achalandage 2021'!N86+'Achalandage 2021'!N95+'Achalandage 2021'!N104+'Achalandage 2021'!N113+'Achalandage 2021'!N122+'Achalandage 2021'!N131+'Achalandage 2021'!N141+'Achalandage 2021'!N150+'Achalandage 2021'!N159+'Achalandage 2021'!N168+'Achalandage 2021'!N177+'Achalandage 2021'!N186+'Achalandage 2021'!N195+'Achalandage 2021'!N205+'Achalandage 2021'!N214+'Achalandage 2021'!N223+'Achalandage 2021'!N232+'Achalandage 2021'!N241+'Achalandage 2021'!N250+'Achalandage 2021'!N259+'Achalandage 2021'!N269+'Achalandage 2021'!N278+'Achalandage 2021'!N287+'Achalandage 2021'!N296+'Achalandage 2021'!N305+'Achalandage 2021'!N314+'Achalandage 2021'!N323+'Achalandage 2021'!N333+'Achalandage 2021'!N342+'Achalandage 2021'!N351+'Achalandage 2021'!N360+'Achalandage 2021'!N369+'Achalandage 2021'!N378+'Achalandage 2021'!N387</f>
        <v>300</v>
      </c>
      <c r="O13" s="70">
        <f>+'Achalandage 2021'!O13+'Achalandage 2021'!O22+'Achalandage 2021'!O31+'Achalandage 2021'!O40+'Achalandage 2021'!O49+'Achalandage 2021'!O58+'Achalandage 2021'!O67+'Achalandage 2021'!O77+'Achalandage 2021'!O86+'Achalandage 2021'!O95+'Achalandage 2021'!O104+'Achalandage 2021'!O113+'Achalandage 2021'!O122+'Achalandage 2021'!O131+'Achalandage 2021'!O141+'Achalandage 2021'!O150+'Achalandage 2021'!O159+'Achalandage 2021'!O168+'Achalandage 2021'!O177+'Achalandage 2021'!O186+'Achalandage 2021'!O195+'Achalandage 2021'!O205+'Achalandage 2021'!O214+'Achalandage 2021'!O223+'Achalandage 2021'!O232+'Achalandage 2021'!O241+'Achalandage 2021'!O250+'Achalandage 2021'!O259+'Achalandage 2021'!O269+'Achalandage 2021'!O278+'Achalandage 2021'!O287+'Achalandage 2021'!O296+'Achalandage 2021'!O305+'Achalandage 2021'!O314+'Achalandage 2021'!O323+'Achalandage 2021'!O333+'Achalandage 2021'!O342+'Achalandage 2021'!O351+'Achalandage 2021'!O360+'Achalandage 2021'!O369+'Achalandage 2021'!O378+'Achalandage 2021'!O387</f>
        <v>372</v>
      </c>
      <c r="P13" s="67">
        <f t="shared" ref="P13:P17" si="4">+D13+E13+F13+G13+H13+I13+J13+K13+L13+M13+N13+O13</f>
        <v>4575</v>
      </c>
    </row>
    <row r="14" spans="2:16" x14ac:dyDescent="0.15">
      <c r="B14" s="101">
        <v>4</v>
      </c>
      <c r="C14" s="102" t="s">
        <v>6</v>
      </c>
      <c r="D14" s="70">
        <f>+'Achalandage 2021'!D14+'Achalandage 2021'!D23+'Achalandage 2021'!D32+'Achalandage 2021'!D41+'Achalandage 2021'!D50+'Achalandage 2021'!D59+'Achalandage 2021'!D68+'Achalandage 2021'!D78+'Achalandage 2021'!D87+'Achalandage 2021'!D96+'Achalandage 2021'!D105+'Achalandage 2021'!D114+'Achalandage 2021'!D123+'Achalandage 2021'!D132+'Achalandage 2021'!D142+'Achalandage 2021'!D151+'Achalandage 2021'!D160+'Achalandage 2021'!D169+'Achalandage 2021'!D178+'Achalandage 2021'!D187+'Achalandage 2021'!D196+'Achalandage 2021'!D206+'Achalandage 2021'!D215+'Achalandage 2021'!D224+'Achalandage 2021'!D233+'Achalandage 2021'!D242+'Achalandage 2021'!D251+'Achalandage 2021'!D260+'Achalandage 2021'!D270+'Achalandage 2021'!D279+'Achalandage 2021'!D288+'Achalandage 2021'!D297+'Achalandage 2021'!D306+'Achalandage 2021'!D315+'Achalandage 2021'!D324+'Achalandage 2021'!D334+'Achalandage 2021'!D343+'Achalandage 2021'!D352+'Achalandage 2021'!D361+'Achalandage 2021'!D370+'Achalandage 2021'!D379+'Achalandage 2021'!D388</f>
        <v>310</v>
      </c>
      <c r="E14" s="70">
        <f>+'Achalandage 2021'!E14+'Achalandage 2021'!E23+'Achalandage 2021'!E32+'Achalandage 2021'!E41+'Achalandage 2021'!E50+'Achalandage 2021'!E59+'Achalandage 2021'!E68+'Achalandage 2021'!E78+'Achalandage 2021'!E87+'Achalandage 2021'!E96+'Achalandage 2021'!E105+'Achalandage 2021'!E114+'Achalandage 2021'!E123+'Achalandage 2021'!E132+'Achalandage 2021'!E142+'Achalandage 2021'!E151+'Achalandage 2021'!E160+'Achalandage 2021'!E169+'Achalandage 2021'!E178+'Achalandage 2021'!E187+'Achalandage 2021'!E196+'Achalandage 2021'!E206+'Achalandage 2021'!E215+'Achalandage 2021'!E224+'Achalandage 2021'!E233+'Achalandage 2021'!E242+'Achalandage 2021'!E251+'Achalandage 2021'!E260+'Achalandage 2021'!E270+'Achalandage 2021'!E279+'Achalandage 2021'!E288+'Achalandage 2021'!E297+'Achalandage 2021'!E306+'Achalandage 2021'!E315+'Achalandage 2021'!E324+'Achalandage 2021'!E334+'Achalandage 2021'!E343+'Achalandage 2021'!E352+'Achalandage 2021'!E361+'Achalandage 2021'!E370+'Achalandage 2021'!E379+'Achalandage 2021'!E388</f>
        <v>252</v>
      </c>
      <c r="F14" s="70">
        <f>+'Achalandage 2021'!F14+'Achalandage 2021'!F23+'Achalandage 2021'!F32+'Achalandage 2021'!F41+'Achalandage 2021'!F50+'Achalandage 2021'!F59+'Achalandage 2021'!F68+'Achalandage 2021'!F78+'Achalandage 2021'!F87+'Achalandage 2021'!F96+'Achalandage 2021'!F105+'Achalandage 2021'!F114+'Achalandage 2021'!F123+'Achalandage 2021'!F132+'Achalandage 2021'!F142+'Achalandage 2021'!F151+'Achalandage 2021'!F160+'Achalandage 2021'!F169+'Achalandage 2021'!F178+'Achalandage 2021'!F187+'Achalandage 2021'!F196+'Achalandage 2021'!F206+'Achalandage 2021'!F215+'Achalandage 2021'!F224+'Achalandage 2021'!F233+'Achalandage 2021'!F242+'Achalandage 2021'!F251+'Achalandage 2021'!F260+'Achalandage 2021'!F270+'Achalandage 2021'!F279+'Achalandage 2021'!F288+'Achalandage 2021'!F297+'Achalandage 2021'!F306+'Achalandage 2021'!F315+'Achalandage 2021'!F324+'Achalandage 2021'!F334+'Achalandage 2021'!F343+'Achalandage 2021'!F352+'Achalandage 2021'!F361+'Achalandage 2021'!F370+'Achalandage 2021'!F379+'Achalandage 2021'!F388</f>
        <v>310</v>
      </c>
      <c r="G14" s="70">
        <f>+'Achalandage 2021'!G14+'Achalandage 2021'!G23+'Achalandage 2021'!G32+'Achalandage 2021'!G41+'Achalandage 2021'!G50+'Achalandage 2021'!G59+'Achalandage 2021'!G68+'Achalandage 2021'!G78+'Achalandage 2021'!G87+'Achalandage 2021'!G96+'Achalandage 2021'!G105+'Achalandage 2021'!G114+'Achalandage 2021'!G123+'Achalandage 2021'!G132+'Achalandage 2021'!G142+'Achalandage 2021'!G151+'Achalandage 2021'!G160+'Achalandage 2021'!G169+'Achalandage 2021'!G178+'Achalandage 2021'!G187+'Achalandage 2021'!G196+'Achalandage 2021'!G206+'Achalandage 2021'!G215+'Achalandage 2021'!G224+'Achalandage 2021'!G233+'Achalandage 2021'!G242+'Achalandage 2021'!G251+'Achalandage 2021'!G260+'Achalandage 2021'!G270+'Achalandage 2021'!G279+'Achalandage 2021'!G288+'Achalandage 2021'!G297+'Achalandage 2021'!G306+'Achalandage 2021'!G315+'Achalandage 2021'!G324+'Achalandage 2021'!G334+'Achalandage 2021'!G343+'Achalandage 2021'!G352+'Achalandage 2021'!G361+'Achalandage 2021'!G370+'Achalandage 2021'!G379+'Achalandage 2021'!G388</f>
        <v>330</v>
      </c>
      <c r="H14" s="70">
        <f>+'Achalandage 2021'!H14+'Achalandage 2021'!H23+'Achalandage 2021'!H32+'Achalandage 2021'!H41+'Achalandage 2021'!H50+'Achalandage 2021'!H59+'Achalandage 2021'!H68+'Achalandage 2021'!H78+'Achalandage 2021'!H87+'Achalandage 2021'!H96+'Achalandage 2021'!H105+'Achalandage 2021'!H114+'Achalandage 2021'!H123+'Achalandage 2021'!H132+'Achalandage 2021'!H142+'Achalandage 2021'!H151+'Achalandage 2021'!H160+'Achalandage 2021'!H169+'Achalandage 2021'!H178+'Achalandage 2021'!H187+'Achalandage 2021'!H196+'Achalandage 2021'!H206+'Achalandage 2021'!H215+'Achalandage 2021'!H224+'Achalandage 2021'!H233+'Achalandage 2021'!H242+'Achalandage 2021'!H251+'Achalandage 2021'!H260+'Achalandage 2021'!H270+'Achalandage 2021'!H279+'Achalandage 2021'!H288+'Achalandage 2021'!H297+'Achalandage 2021'!H306+'Achalandage 2021'!H315+'Achalandage 2021'!H324+'Achalandage 2021'!H334+'Achalandage 2021'!H343+'Achalandage 2021'!H352+'Achalandage 2021'!H361+'Achalandage 2021'!H370+'Achalandage 2021'!H379+'Achalandage 2021'!H388</f>
        <v>372</v>
      </c>
      <c r="I14" s="70">
        <f>+'Achalandage 2021'!I14+'Achalandage 2021'!I23+'Achalandage 2021'!I32+'Achalandage 2021'!I41+'Achalandage 2021'!I50+'Achalandage 2021'!I59+'Achalandage 2021'!I68+'Achalandage 2021'!I78+'Achalandage 2021'!I87+'Achalandage 2021'!I96+'Achalandage 2021'!I105+'Achalandage 2021'!I114+'Achalandage 2021'!I123+'Achalandage 2021'!I132+'Achalandage 2021'!I142+'Achalandage 2021'!I151+'Achalandage 2021'!I160+'Achalandage 2021'!I169+'Achalandage 2021'!I178+'Achalandage 2021'!I187+'Achalandage 2021'!I196+'Achalandage 2021'!I206+'Achalandage 2021'!I215+'Achalandage 2021'!I224+'Achalandage 2021'!I233+'Achalandage 2021'!I242+'Achalandage 2021'!I251+'Achalandage 2021'!I260+'Achalandage 2021'!I270+'Achalandage 2021'!I279+'Achalandage 2021'!I288+'Achalandage 2021'!I297+'Achalandage 2021'!I306+'Achalandage 2021'!I315+'Achalandage 2021'!I324+'Achalandage 2021'!I334+'Achalandage 2021'!I343+'Achalandage 2021'!I352+'Achalandage 2021'!I361+'Achalandage 2021'!I370+'Achalandage 2021'!I379+'Achalandage 2021'!I388</f>
        <v>450</v>
      </c>
      <c r="J14" s="70">
        <f>+'Achalandage 2021'!J14+'Achalandage 2021'!J23+'Achalandage 2021'!J32+'Achalandage 2021'!J41+'Achalandage 2021'!J50+'Achalandage 2021'!J59+'Achalandage 2021'!J68+'Achalandage 2021'!J78+'Achalandage 2021'!J87+'Achalandage 2021'!J96+'Achalandage 2021'!J105+'Achalandage 2021'!J114+'Achalandage 2021'!J123+'Achalandage 2021'!J132+'Achalandage 2021'!J142+'Achalandage 2021'!J151+'Achalandage 2021'!J160+'Achalandage 2021'!J169+'Achalandage 2021'!J178+'Achalandage 2021'!J187+'Achalandage 2021'!J196+'Achalandage 2021'!J206+'Achalandage 2021'!J215+'Achalandage 2021'!J224+'Achalandage 2021'!J233+'Achalandage 2021'!J242+'Achalandage 2021'!J251+'Achalandage 2021'!J260+'Achalandage 2021'!J270+'Achalandage 2021'!J279+'Achalandage 2021'!J288+'Achalandage 2021'!J297+'Achalandage 2021'!J306+'Achalandage 2021'!J315+'Achalandage 2021'!J324+'Achalandage 2021'!J334+'Achalandage 2021'!J343+'Achalandage 2021'!J352+'Achalandage 2021'!J361+'Achalandage 2021'!J370+'Achalandage 2021'!J379+'Achalandage 2021'!J388</f>
        <v>620</v>
      </c>
      <c r="K14" s="70">
        <f>+'Achalandage 2021'!K14+'Achalandage 2021'!K23+'Achalandage 2021'!K32+'Achalandage 2021'!K41+'Achalandage 2021'!K50+'Achalandage 2021'!K59+'Achalandage 2021'!K68+'Achalandage 2021'!K78+'Achalandage 2021'!K87+'Achalandage 2021'!K96+'Achalandage 2021'!K105+'Achalandage 2021'!K114+'Achalandage 2021'!K123+'Achalandage 2021'!K132+'Achalandage 2021'!K142+'Achalandage 2021'!K151+'Achalandage 2021'!K160+'Achalandage 2021'!K169+'Achalandage 2021'!K178+'Achalandage 2021'!K187+'Achalandage 2021'!K196+'Achalandage 2021'!K206+'Achalandage 2021'!K215+'Achalandage 2021'!K224+'Achalandage 2021'!K233+'Achalandage 2021'!K242+'Achalandage 2021'!K251+'Achalandage 2021'!K260+'Achalandage 2021'!K270+'Achalandage 2021'!K279+'Achalandage 2021'!K288+'Achalandage 2021'!K297+'Achalandage 2021'!K306+'Achalandage 2021'!K315+'Achalandage 2021'!K324+'Achalandage 2021'!K334+'Achalandage 2021'!K343+'Achalandage 2021'!K352+'Achalandage 2021'!K361+'Achalandage 2021'!K370+'Achalandage 2021'!K379+'Achalandage 2021'!K388</f>
        <v>558</v>
      </c>
      <c r="L14" s="70">
        <f>+'Achalandage 2021'!L14+'Achalandage 2021'!L23+'Achalandage 2021'!L32+'Achalandage 2021'!L41+'Achalandage 2021'!L50+'Achalandage 2021'!L59+'Achalandage 2021'!L68+'Achalandage 2021'!L78+'Achalandage 2021'!L87+'Achalandage 2021'!L96+'Achalandage 2021'!L105+'Achalandage 2021'!L114+'Achalandage 2021'!L123+'Achalandage 2021'!L132+'Achalandage 2021'!L142+'Achalandage 2021'!L151+'Achalandage 2021'!L160+'Achalandage 2021'!L169+'Achalandage 2021'!L178+'Achalandage 2021'!L187+'Achalandage 2021'!L196+'Achalandage 2021'!L206+'Achalandage 2021'!L215+'Achalandage 2021'!L224+'Achalandage 2021'!L233+'Achalandage 2021'!L242+'Achalandage 2021'!L251+'Achalandage 2021'!L260+'Achalandage 2021'!L270+'Achalandage 2021'!L279+'Achalandage 2021'!L288+'Achalandage 2021'!L297+'Achalandage 2021'!L306+'Achalandage 2021'!L315+'Achalandage 2021'!L324+'Achalandage 2021'!L334+'Achalandage 2021'!L343+'Achalandage 2021'!L352+'Achalandage 2021'!L361+'Achalandage 2021'!L370+'Achalandage 2021'!L379+'Achalandage 2021'!L388</f>
        <v>360</v>
      </c>
      <c r="M14" s="70">
        <f>+'Achalandage 2021'!M14+'Achalandage 2021'!M23+'Achalandage 2021'!M32+'Achalandage 2021'!M41+'Achalandage 2021'!M50+'Achalandage 2021'!M59+'Achalandage 2021'!M68+'Achalandage 2021'!M78+'Achalandage 2021'!M87+'Achalandage 2021'!M96+'Achalandage 2021'!M105+'Achalandage 2021'!M114+'Achalandage 2021'!M123+'Achalandage 2021'!M132+'Achalandage 2021'!M142+'Achalandage 2021'!M151+'Achalandage 2021'!M160+'Achalandage 2021'!M169+'Achalandage 2021'!M178+'Achalandage 2021'!M187+'Achalandage 2021'!M196+'Achalandage 2021'!M206+'Achalandage 2021'!M215+'Achalandage 2021'!M224+'Achalandage 2021'!M233+'Achalandage 2021'!M242+'Achalandage 2021'!M251+'Achalandage 2021'!M260+'Achalandage 2021'!M270+'Achalandage 2021'!M279+'Achalandage 2021'!M288+'Achalandage 2021'!M297+'Achalandage 2021'!M306+'Achalandage 2021'!M315+'Achalandage 2021'!M324+'Achalandage 2021'!M334+'Achalandage 2021'!M343+'Achalandage 2021'!M352+'Achalandage 2021'!M361+'Achalandage 2021'!M370+'Achalandage 2021'!M379+'Achalandage 2021'!M388</f>
        <v>341</v>
      </c>
      <c r="N14" s="70">
        <f>+'Achalandage 2021'!N14+'Achalandage 2021'!N23+'Achalandage 2021'!N32+'Achalandage 2021'!N41+'Achalandage 2021'!N50+'Achalandage 2021'!N59+'Achalandage 2021'!N68+'Achalandage 2021'!N78+'Achalandage 2021'!N87+'Achalandage 2021'!N96+'Achalandage 2021'!N105+'Achalandage 2021'!N114+'Achalandage 2021'!N123+'Achalandage 2021'!N132+'Achalandage 2021'!N142+'Achalandage 2021'!N151+'Achalandage 2021'!N160+'Achalandage 2021'!N169+'Achalandage 2021'!N178+'Achalandage 2021'!N187+'Achalandage 2021'!N196+'Achalandage 2021'!N206+'Achalandage 2021'!N215+'Achalandage 2021'!N224+'Achalandage 2021'!N233+'Achalandage 2021'!N242+'Achalandage 2021'!N251+'Achalandage 2021'!N260+'Achalandage 2021'!N270+'Achalandage 2021'!N279+'Achalandage 2021'!N288+'Achalandage 2021'!N297+'Achalandage 2021'!N306+'Achalandage 2021'!N315+'Achalandage 2021'!N324+'Achalandage 2021'!N334+'Achalandage 2021'!N343+'Achalandage 2021'!N352+'Achalandage 2021'!N361+'Achalandage 2021'!N370+'Achalandage 2021'!N379+'Achalandage 2021'!N388</f>
        <v>300</v>
      </c>
      <c r="O14" s="70">
        <f>+'Achalandage 2021'!O14+'Achalandage 2021'!O23+'Achalandage 2021'!O32+'Achalandage 2021'!O41+'Achalandage 2021'!O50+'Achalandage 2021'!O59+'Achalandage 2021'!O68+'Achalandage 2021'!O78+'Achalandage 2021'!O87+'Achalandage 2021'!O96+'Achalandage 2021'!O105+'Achalandage 2021'!O114+'Achalandage 2021'!O123+'Achalandage 2021'!O132+'Achalandage 2021'!O142+'Achalandage 2021'!O151+'Achalandage 2021'!O160+'Achalandage 2021'!O169+'Achalandage 2021'!O178+'Achalandage 2021'!O187+'Achalandage 2021'!O196+'Achalandage 2021'!O206+'Achalandage 2021'!O215+'Achalandage 2021'!O224+'Achalandage 2021'!O233+'Achalandage 2021'!O242+'Achalandage 2021'!O251+'Achalandage 2021'!O260+'Achalandage 2021'!O270+'Achalandage 2021'!O279+'Achalandage 2021'!O288+'Achalandage 2021'!O297+'Achalandage 2021'!O306+'Achalandage 2021'!O315+'Achalandage 2021'!O324+'Achalandage 2021'!O334+'Achalandage 2021'!O343+'Achalandage 2021'!O352+'Achalandage 2021'!O361+'Achalandage 2021'!O370+'Achalandage 2021'!O379+'Achalandage 2021'!O388</f>
        <v>372</v>
      </c>
      <c r="P14" s="67">
        <f t="shared" si="4"/>
        <v>4575</v>
      </c>
    </row>
    <row r="15" spans="2:16" x14ac:dyDescent="0.15">
      <c r="B15" s="101">
        <v>5</v>
      </c>
      <c r="C15" s="102" t="s">
        <v>7</v>
      </c>
      <c r="D15" s="70">
        <f>+'Achalandage 2021'!D15+'Achalandage 2021'!D24+'Achalandage 2021'!D33+'Achalandage 2021'!D42+'Achalandage 2021'!D51+'Achalandage 2021'!D60+'Achalandage 2021'!D69+'Achalandage 2021'!D79+'Achalandage 2021'!D88+'Achalandage 2021'!D97+'Achalandage 2021'!D106+'Achalandage 2021'!D115+'Achalandage 2021'!D124+'Achalandage 2021'!D133+'Achalandage 2021'!D143+'Achalandage 2021'!D152+'Achalandage 2021'!D161+'Achalandage 2021'!D170+'Achalandage 2021'!D179+'Achalandage 2021'!D188+'Achalandage 2021'!D197+'Achalandage 2021'!D207+'Achalandage 2021'!D216+'Achalandage 2021'!D225+'Achalandage 2021'!D234+'Achalandage 2021'!D243+'Achalandage 2021'!D252+'Achalandage 2021'!D261+'Achalandage 2021'!D271+'Achalandage 2021'!D280+'Achalandage 2021'!D289+'Achalandage 2021'!D298+'Achalandage 2021'!D307+'Achalandage 2021'!D316+'Achalandage 2021'!D325+'Achalandage 2021'!D335+'Achalandage 2021'!D344+'Achalandage 2021'!D353+'Achalandage 2021'!D362+'Achalandage 2021'!D371+'Achalandage 2021'!D380+'Achalandage 2021'!D389</f>
        <v>310</v>
      </c>
      <c r="E15" s="70">
        <f>+'Achalandage 2021'!E15+'Achalandage 2021'!E24+'Achalandage 2021'!E33+'Achalandage 2021'!E42+'Achalandage 2021'!E51+'Achalandage 2021'!E60+'Achalandage 2021'!E69+'Achalandage 2021'!E79+'Achalandage 2021'!E88+'Achalandage 2021'!E97+'Achalandage 2021'!E106+'Achalandage 2021'!E115+'Achalandage 2021'!E124+'Achalandage 2021'!E133+'Achalandage 2021'!E143+'Achalandage 2021'!E152+'Achalandage 2021'!E161+'Achalandage 2021'!E170+'Achalandage 2021'!E179+'Achalandage 2021'!E188+'Achalandage 2021'!E197+'Achalandage 2021'!E207+'Achalandage 2021'!E216+'Achalandage 2021'!E225+'Achalandage 2021'!E234+'Achalandage 2021'!E243+'Achalandage 2021'!E252+'Achalandage 2021'!E261+'Achalandage 2021'!E271+'Achalandage 2021'!E280+'Achalandage 2021'!E289+'Achalandage 2021'!E298+'Achalandage 2021'!E307+'Achalandage 2021'!E316+'Achalandage 2021'!E325+'Achalandage 2021'!E335+'Achalandage 2021'!E344+'Achalandage 2021'!E353+'Achalandage 2021'!E362+'Achalandage 2021'!E371+'Achalandage 2021'!E380+'Achalandage 2021'!E389</f>
        <v>252</v>
      </c>
      <c r="F15" s="70">
        <f>+'Achalandage 2021'!F15+'Achalandage 2021'!F24+'Achalandage 2021'!F33+'Achalandage 2021'!F42+'Achalandage 2021'!F51+'Achalandage 2021'!F60+'Achalandage 2021'!F69+'Achalandage 2021'!F79+'Achalandage 2021'!F88+'Achalandage 2021'!F97+'Achalandage 2021'!F106+'Achalandage 2021'!F115+'Achalandage 2021'!F124+'Achalandage 2021'!F133+'Achalandage 2021'!F143+'Achalandage 2021'!F152+'Achalandage 2021'!F161+'Achalandage 2021'!F170+'Achalandage 2021'!F179+'Achalandage 2021'!F188+'Achalandage 2021'!F197+'Achalandage 2021'!F207+'Achalandage 2021'!F216+'Achalandage 2021'!F225+'Achalandage 2021'!F234+'Achalandage 2021'!F243+'Achalandage 2021'!F252+'Achalandage 2021'!F261+'Achalandage 2021'!F271+'Achalandage 2021'!F280+'Achalandage 2021'!F289+'Achalandage 2021'!F298+'Achalandage 2021'!F307+'Achalandage 2021'!F316+'Achalandage 2021'!F325+'Achalandage 2021'!F335+'Achalandage 2021'!F344+'Achalandage 2021'!F353+'Achalandage 2021'!F362+'Achalandage 2021'!F371+'Achalandage 2021'!F380+'Achalandage 2021'!F389</f>
        <v>310</v>
      </c>
      <c r="G15" s="70">
        <f>+'Achalandage 2021'!G15+'Achalandage 2021'!G24+'Achalandage 2021'!G33+'Achalandage 2021'!G42+'Achalandage 2021'!G51+'Achalandage 2021'!G60+'Achalandage 2021'!G69+'Achalandage 2021'!G79+'Achalandage 2021'!G88+'Achalandage 2021'!G97+'Achalandage 2021'!G106+'Achalandage 2021'!G115+'Achalandage 2021'!G124+'Achalandage 2021'!G133+'Achalandage 2021'!G143+'Achalandage 2021'!G152+'Achalandage 2021'!G161+'Achalandage 2021'!G170+'Achalandage 2021'!G179+'Achalandage 2021'!G188+'Achalandage 2021'!G197+'Achalandage 2021'!G207+'Achalandage 2021'!G216+'Achalandage 2021'!G225+'Achalandage 2021'!G234+'Achalandage 2021'!G243+'Achalandage 2021'!G252+'Achalandage 2021'!G261+'Achalandage 2021'!G271+'Achalandage 2021'!G280+'Achalandage 2021'!G289+'Achalandage 2021'!G298+'Achalandage 2021'!G307+'Achalandage 2021'!G316+'Achalandage 2021'!G325+'Achalandage 2021'!G335+'Achalandage 2021'!G344+'Achalandage 2021'!G353+'Achalandage 2021'!G362+'Achalandage 2021'!G371+'Achalandage 2021'!G380+'Achalandage 2021'!G389</f>
        <v>330</v>
      </c>
      <c r="H15" s="70">
        <f>+'Achalandage 2021'!H15+'Achalandage 2021'!H24+'Achalandage 2021'!H33+'Achalandage 2021'!H42+'Achalandage 2021'!H51+'Achalandage 2021'!H60+'Achalandage 2021'!H69+'Achalandage 2021'!H79+'Achalandage 2021'!H88+'Achalandage 2021'!H97+'Achalandage 2021'!H106+'Achalandage 2021'!H115+'Achalandage 2021'!H124+'Achalandage 2021'!H133+'Achalandage 2021'!H143+'Achalandage 2021'!H152+'Achalandage 2021'!H161+'Achalandage 2021'!H170+'Achalandage 2021'!H179+'Achalandage 2021'!H188+'Achalandage 2021'!H197+'Achalandage 2021'!H207+'Achalandage 2021'!H216+'Achalandage 2021'!H225+'Achalandage 2021'!H234+'Achalandage 2021'!H243+'Achalandage 2021'!H252+'Achalandage 2021'!H261+'Achalandage 2021'!H271+'Achalandage 2021'!H280+'Achalandage 2021'!H289+'Achalandage 2021'!H298+'Achalandage 2021'!H307+'Achalandage 2021'!H316+'Achalandage 2021'!H325+'Achalandage 2021'!H335+'Achalandage 2021'!H344+'Achalandage 2021'!H353+'Achalandage 2021'!H362+'Achalandage 2021'!H371+'Achalandage 2021'!H380+'Achalandage 2021'!H389</f>
        <v>372</v>
      </c>
      <c r="I15" s="70">
        <f>+'Achalandage 2021'!I15+'Achalandage 2021'!I24+'Achalandage 2021'!I33+'Achalandage 2021'!I42+'Achalandage 2021'!I51+'Achalandage 2021'!I60+'Achalandage 2021'!I69+'Achalandage 2021'!I79+'Achalandage 2021'!I88+'Achalandage 2021'!I97+'Achalandage 2021'!I106+'Achalandage 2021'!I115+'Achalandage 2021'!I124+'Achalandage 2021'!I133+'Achalandage 2021'!I143+'Achalandage 2021'!I152+'Achalandage 2021'!I161+'Achalandage 2021'!I170+'Achalandage 2021'!I179+'Achalandage 2021'!I188+'Achalandage 2021'!I197+'Achalandage 2021'!I207+'Achalandage 2021'!I216+'Achalandage 2021'!I225+'Achalandage 2021'!I234+'Achalandage 2021'!I243+'Achalandage 2021'!I252+'Achalandage 2021'!I261+'Achalandage 2021'!I271+'Achalandage 2021'!I280+'Achalandage 2021'!I289+'Achalandage 2021'!I298+'Achalandage 2021'!I307+'Achalandage 2021'!I316+'Achalandage 2021'!I325+'Achalandage 2021'!I335+'Achalandage 2021'!I344+'Achalandage 2021'!I353+'Achalandage 2021'!I362+'Achalandage 2021'!I371+'Achalandage 2021'!I380+'Achalandage 2021'!I389</f>
        <v>450</v>
      </c>
      <c r="J15" s="70">
        <f>+'Achalandage 2021'!J15+'Achalandage 2021'!J24+'Achalandage 2021'!J33+'Achalandage 2021'!J42+'Achalandage 2021'!J51+'Achalandage 2021'!J60+'Achalandage 2021'!J69+'Achalandage 2021'!J79+'Achalandage 2021'!J88+'Achalandage 2021'!J97+'Achalandage 2021'!J106+'Achalandage 2021'!J115+'Achalandage 2021'!J124+'Achalandage 2021'!J133+'Achalandage 2021'!J143+'Achalandage 2021'!J152+'Achalandage 2021'!J161+'Achalandage 2021'!J170+'Achalandage 2021'!J179+'Achalandage 2021'!J188+'Achalandage 2021'!J197+'Achalandage 2021'!J207+'Achalandage 2021'!J216+'Achalandage 2021'!J225+'Achalandage 2021'!J234+'Achalandage 2021'!J243+'Achalandage 2021'!J252+'Achalandage 2021'!J261+'Achalandage 2021'!J271+'Achalandage 2021'!J280+'Achalandage 2021'!J289+'Achalandage 2021'!J298+'Achalandage 2021'!J307+'Achalandage 2021'!J316+'Achalandage 2021'!J325+'Achalandage 2021'!J335+'Achalandage 2021'!J344+'Achalandage 2021'!J353+'Achalandage 2021'!J362+'Achalandage 2021'!J371+'Achalandage 2021'!J380+'Achalandage 2021'!J389</f>
        <v>620</v>
      </c>
      <c r="K15" s="70">
        <f>+'Achalandage 2021'!K15+'Achalandage 2021'!K24+'Achalandage 2021'!K33+'Achalandage 2021'!K42+'Achalandage 2021'!K51+'Achalandage 2021'!K60+'Achalandage 2021'!K69+'Achalandage 2021'!K79+'Achalandage 2021'!K88+'Achalandage 2021'!K97+'Achalandage 2021'!K106+'Achalandage 2021'!K115+'Achalandage 2021'!K124+'Achalandage 2021'!K133+'Achalandage 2021'!K143+'Achalandage 2021'!K152+'Achalandage 2021'!K161+'Achalandage 2021'!K170+'Achalandage 2021'!K179+'Achalandage 2021'!K188+'Achalandage 2021'!K197+'Achalandage 2021'!K207+'Achalandage 2021'!K216+'Achalandage 2021'!K225+'Achalandage 2021'!K234+'Achalandage 2021'!K243+'Achalandage 2021'!K252+'Achalandage 2021'!K261+'Achalandage 2021'!K271+'Achalandage 2021'!K280+'Achalandage 2021'!K289+'Achalandage 2021'!K298+'Achalandage 2021'!K307+'Achalandage 2021'!K316+'Achalandage 2021'!K325+'Achalandage 2021'!K335+'Achalandage 2021'!K344+'Achalandage 2021'!K353+'Achalandage 2021'!K362+'Achalandage 2021'!K371+'Achalandage 2021'!K380+'Achalandage 2021'!K389</f>
        <v>558</v>
      </c>
      <c r="L15" s="70">
        <f>+'Achalandage 2021'!L15+'Achalandage 2021'!L24+'Achalandage 2021'!L33+'Achalandage 2021'!L42+'Achalandage 2021'!L51+'Achalandage 2021'!L60+'Achalandage 2021'!L69+'Achalandage 2021'!L79+'Achalandage 2021'!L88+'Achalandage 2021'!L97+'Achalandage 2021'!L106+'Achalandage 2021'!L115+'Achalandage 2021'!L124+'Achalandage 2021'!L133+'Achalandage 2021'!L143+'Achalandage 2021'!L152+'Achalandage 2021'!L161+'Achalandage 2021'!L170+'Achalandage 2021'!L179+'Achalandage 2021'!L188+'Achalandage 2021'!L197+'Achalandage 2021'!L207+'Achalandage 2021'!L216+'Achalandage 2021'!L225+'Achalandage 2021'!L234+'Achalandage 2021'!L243+'Achalandage 2021'!L252+'Achalandage 2021'!L261+'Achalandage 2021'!L271+'Achalandage 2021'!L280+'Achalandage 2021'!L289+'Achalandage 2021'!L298+'Achalandage 2021'!L307+'Achalandage 2021'!L316+'Achalandage 2021'!L325+'Achalandage 2021'!L335+'Achalandage 2021'!L344+'Achalandage 2021'!L353+'Achalandage 2021'!L362+'Achalandage 2021'!L371+'Achalandage 2021'!L380+'Achalandage 2021'!L389</f>
        <v>360</v>
      </c>
      <c r="M15" s="70">
        <f>+'Achalandage 2021'!M15+'Achalandage 2021'!M24+'Achalandage 2021'!M33+'Achalandage 2021'!M42+'Achalandage 2021'!M51+'Achalandage 2021'!M60+'Achalandage 2021'!M69+'Achalandage 2021'!M79+'Achalandage 2021'!M88+'Achalandage 2021'!M97+'Achalandage 2021'!M106+'Achalandage 2021'!M115+'Achalandage 2021'!M124+'Achalandage 2021'!M133+'Achalandage 2021'!M143+'Achalandage 2021'!M152+'Achalandage 2021'!M161+'Achalandage 2021'!M170+'Achalandage 2021'!M179+'Achalandage 2021'!M188+'Achalandage 2021'!M197+'Achalandage 2021'!M207+'Achalandage 2021'!M216+'Achalandage 2021'!M225+'Achalandage 2021'!M234+'Achalandage 2021'!M243+'Achalandage 2021'!M252+'Achalandage 2021'!M261+'Achalandage 2021'!M271+'Achalandage 2021'!M280+'Achalandage 2021'!M289+'Achalandage 2021'!M298+'Achalandage 2021'!M307+'Achalandage 2021'!M316+'Achalandage 2021'!M325+'Achalandage 2021'!M335+'Achalandage 2021'!M344+'Achalandage 2021'!M353+'Achalandage 2021'!M362+'Achalandage 2021'!M371+'Achalandage 2021'!M380+'Achalandage 2021'!M389</f>
        <v>341</v>
      </c>
      <c r="N15" s="70">
        <f>+'Achalandage 2021'!N15+'Achalandage 2021'!N24+'Achalandage 2021'!N33+'Achalandage 2021'!N42+'Achalandage 2021'!N51+'Achalandage 2021'!N60+'Achalandage 2021'!N69+'Achalandage 2021'!N79+'Achalandage 2021'!N88+'Achalandage 2021'!N97+'Achalandage 2021'!N106+'Achalandage 2021'!N115+'Achalandage 2021'!N124+'Achalandage 2021'!N133+'Achalandage 2021'!N143+'Achalandage 2021'!N152+'Achalandage 2021'!N161+'Achalandage 2021'!N170+'Achalandage 2021'!N179+'Achalandage 2021'!N188+'Achalandage 2021'!N197+'Achalandage 2021'!N207+'Achalandage 2021'!N216+'Achalandage 2021'!N225+'Achalandage 2021'!N234+'Achalandage 2021'!N243+'Achalandage 2021'!N252+'Achalandage 2021'!N261+'Achalandage 2021'!N271+'Achalandage 2021'!N280+'Achalandage 2021'!N289+'Achalandage 2021'!N298+'Achalandage 2021'!N307+'Achalandage 2021'!N316+'Achalandage 2021'!N325+'Achalandage 2021'!N335+'Achalandage 2021'!N344+'Achalandage 2021'!N353+'Achalandage 2021'!N362+'Achalandage 2021'!N371+'Achalandage 2021'!N380+'Achalandage 2021'!N389</f>
        <v>300</v>
      </c>
      <c r="O15" s="70">
        <f>+'Achalandage 2021'!O15+'Achalandage 2021'!O24+'Achalandage 2021'!O33+'Achalandage 2021'!O42+'Achalandage 2021'!O51+'Achalandage 2021'!O60+'Achalandage 2021'!O69+'Achalandage 2021'!O79+'Achalandage 2021'!O88+'Achalandage 2021'!O97+'Achalandage 2021'!O106+'Achalandage 2021'!O115+'Achalandage 2021'!O124+'Achalandage 2021'!O133+'Achalandage 2021'!O143+'Achalandage 2021'!O152+'Achalandage 2021'!O161+'Achalandage 2021'!O170+'Achalandage 2021'!O179+'Achalandage 2021'!O188+'Achalandage 2021'!O197+'Achalandage 2021'!O207+'Achalandage 2021'!O216+'Achalandage 2021'!O225+'Achalandage 2021'!O234+'Achalandage 2021'!O243+'Achalandage 2021'!O252+'Achalandage 2021'!O261+'Achalandage 2021'!O271+'Achalandage 2021'!O280+'Achalandage 2021'!O289+'Achalandage 2021'!O298+'Achalandage 2021'!O307+'Achalandage 2021'!O316+'Achalandage 2021'!O325+'Achalandage 2021'!O335+'Achalandage 2021'!O344+'Achalandage 2021'!O353+'Achalandage 2021'!O362+'Achalandage 2021'!O371+'Achalandage 2021'!O380+'Achalandage 2021'!O389</f>
        <v>372</v>
      </c>
      <c r="P15" s="67">
        <f t="shared" si="4"/>
        <v>4575</v>
      </c>
    </row>
    <row r="16" spans="2:16" x14ac:dyDescent="0.15">
      <c r="B16" s="101">
        <v>6</v>
      </c>
      <c r="C16" s="102" t="s">
        <v>8</v>
      </c>
      <c r="D16" s="70">
        <f>+'Achalandage 2021'!D16+'Achalandage 2021'!D25+'Achalandage 2021'!D34+'Achalandage 2021'!D43+'Achalandage 2021'!D52+'Achalandage 2021'!D61+'Achalandage 2021'!D70+'Achalandage 2021'!D80+'Achalandage 2021'!D89+'Achalandage 2021'!D98+'Achalandage 2021'!D107+'Achalandage 2021'!D116+'Achalandage 2021'!D125+'Achalandage 2021'!D134+'Achalandage 2021'!D144+'Achalandage 2021'!D153+'Achalandage 2021'!D162+'Achalandage 2021'!D171+'Achalandage 2021'!D180+'Achalandage 2021'!D189+'Achalandage 2021'!D198+'Achalandage 2021'!D208+'Achalandage 2021'!D217+'Achalandage 2021'!D226+'Achalandage 2021'!D235+'Achalandage 2021'!D244+'Achalandage 2021'!D253+'Achalandage 2021'!D262+'Achalandage 2021'!D272+'Achalandage 2021'!D281+'Achalandage 2021'!D290+'Achalandage 2021'!D299+'Achalandage 2021'!D308+'Achalandage 2021'!D317+'Achalandage 2021'!D326+'Achalandage 2021'!D336+'Achalandage 2021'!D345+'Achalandage 2021'!D354+'Achalandage 2021'!D363+'Achalandage 2021'!D372+'Achalandage 2021'!D381+'Achalandage 2021'!D390</f>
        <v>310</v>
      </c>
      <c r="E16" s="70">
        <f>+'Achalandage 2021'!E16+'Achalandage 2021'!E25+'Achalandage 2021'!E34+'Achalandage 2021'!E43+'Achalandage 2021'!E52+'Achalandage 2021'!E61+'Achalandage 2021'!E70+'Achalandage 2021'!E80+'Achalandage 2021'!E89+'Achalandage 2021'!E98+'Achalandage 2021'!E107+'Achalandage 2021'!E116+'Achalandage 2021'!E125+'Achalandage 2021'!E134+'Achalandage 2021'!E144+'Achalandage 2021'!E153+'Achalandage 2021'!E162+'Achalandage 2021'!E171+'Achalandage 2021'!E180+'Achalandage 2021'!E189+'Achalandage 2021'!E198+'Achalandage 2021'!E208+'Achalandage 2021'!E217+'Achalandage 2021'!E226+'Achalandage 2021'!E235+'Achalandage 2021'!E244+'Achalandage 2021'!E253+'Achalandage 2021'!E262+'Achalandage 2021'!E272+'Achalandage 2021'!E281+'Achalandage 2021'!E290+'Achalandage 2021'!E299+'Achalandage 2021'!E308+'Achalandage 2021'!E317+'Achalandage 2021'!E326+'Achalandage 2021'!E336+'Achalandage 2021'!E345+'Achalandage 2021'!E354+'Achalandage 2021'!E363+'Achalandage 2021'!E372+'Achalandage 2021'!E381+'Achalandage 2021'!E390</f>
        <v>252</v>
      </c>
      <c r="F16" s="70">
        <f>+'Achalandage 2021'!F16+'Achalandage 2021'!F25+'Achalandage 2021'!F34+'Achalandage 2021'!F43+'Achalandage 2021'!F52+'Achalandage 2021'!F61+'Achalandage 2021'!F70+'Achalandage 2021'!F80+'Achalandage 2021'!F89+'Achalandage 2021'!F98+'Achalandage 2021'!F107+'Achalandage 2021'!F116+'Achalandage 2021'!F125+'Achalandage 2021'!F134+'Achalandage 2021'!F144+'Achalandage 2021'!F153+'Achalandage 2021'!F162+'Achalandage 2021'!F171+'Achalandage 2021'!F180+'Achalandage 2021'!F189+'Achalandage 2021'!F198+'Achalandage 2021'!F208+'Achalandage 2021'!F217+'Achalandage 2021'!F226+'Achalandage 2021'!F235+'Achalandage 2021'!F244+'Achalandage 2021'!F253+'Achalandage 2021'!F262+'Achalandage 2021'!F272+'Achalandage 2021'!F281+'Achalandage 2021'!F290+'Achalandage 2021'!F299+'Achalandage 2021'!F308+'Achalandage 2021'!F317+'Achalandage 2021'!F326+'Achalandage 2021'!F336+'Achalandage 2021'!F345+'Achalandage 2021'!F354+'Achalandage 2021'!F363+'Achalandage 2021'!F372+'Achalandage 2021'!F381+'Achalandage 2021'!F390</f>
        <v>310</v>
      </c>
      <c r="G16" s="70">
        <f>+'Achalandage 2021'!G16+'Achalandage 2021'!G25+'Achalandage 2021'!G34+'Achalandage 2021'!G43+'Achalandage 2021'!G52+'Achalandage 2021'!G61+'Achalandage 2021'!G70+'Achalandage 2021'!G80+'Achalandage 2021'!G89+'Achalandage 2021'!G98+'Achalandage 2021'!G107+'Achalandage 2021'!G116+'Achalandage 2021'!G125+'Achalandage 2021'!G134+'Achalandage 2021'!G144+'Achalandage 2021'!G153+'Achalandage 2021'!G162+'Achalandage 2021'!G171+'Achalandage 2021'!G180+'Achalandage 2021'!G189+'Achalandage 2021'!G198+'Achalandage 2021'!G208+'Achalandage 2021'!G217+'Achalandage 2021'!G226+'Achalandage 2021'!G235+'Achalandage 2021'!G244+'Achalandage 2021'!G253+'Achalandage 2021'!G262+'Achalandage 2021'!G272+'Achalandage 2021'!G281+'Achalandage 2021'!G290+'Achalandage 2021'!G299+'Achalandage 2021'!G308+'Achalandage 2021'!G317+'Achalandage 2021'!G326+'Achalandage 2021'!G336+'Achalandage 2021'!G345+'Achalandage 2021'!G354+'Achalandage 2021'!G363+'Achalandage 2021'!G372+'Achalandage 2021'!G381+'Achalandage 2021'!G390</f>
        <v>330</v>
      </c>
      <c r="H16" s="70">
        <f>+'Achalandage 2021'!H16+'Achalandage 2021'!H25+'Achalandage 2021'!H34+'Achalandage 2021'!H43+'Achalandage 2021'!H52+'Achalandage 2021'!H61+'Achalandage 2021'!H70+'Achalandage 2021'!H80+'Achalandage 2021'!H89+'Achalandage 2021'!H98+'Achalandage 2021'!H107+'Achalandage 2021'!H116+'Achalandage 2021'!H125+'Achalandage 2021'!H134+'Achalandage 2021'!H144+'Achalandage 2021'!H153+'Achalandage 2021'!H162+'Achalandage 2021'!H171+'Achalandage 2021'!H180+'Achalandage 2021'!H189+'Achalandage 2021'!H198+'Achalandage 2021'!H208+'Achalandage 2021'!H217+'Achalandage 2021'!H226+'Achalandage 2021'!H235+'Achalandage 2021'!H244+'Achalandage 2021'!H253+'Achalandage 2021'!H262+'Achalandage 2021'!H272+'Achalandage 2021'!H281+'Achalandage 2021'!H290+'Achalandage 2021'!H299+'Achalandage 2021'!H308+'Achalandage 2021'!H317+'Achalandage 2021'!H326+'Achalandage 2021'!H336+'Achalandage 2021'!H345+'Achalandage 2021'!H354+'Achalandage 2021'!H363+'Achalandage 2021'!H372+'Achalandage 2021'!H381+'Achalandage 2021'!H390</f>
        <v>372</v>
      </c>
      <c r="I16" s="70">
        <f>+'Achalandage 2021'!I16+'Achalandage 2021'!I25+'Achalandage 2021'!I34+'Achalandage 2021'!I43+'Achalandage 2021'!I52+'Achalandage 2021'!I61+'Achalandage 2021'!I70+'Achalandage 2021'!I80+'Achalandage 2021'!I89+'Achalandage 2021'!I98+'Achalandage 2021'!I107+'Achalandage 2021'!I116+'Achalandage 2021'!I125+'Achalandage 2021'!I134+'Achalandage 2021'!I144+'Achalandage 2021'!I153+'Achalandage 2021'!I162+'Achalandage 2021'!I171+'Achalandage 2021'!I180+'Achalandage 2021'!I189+'Achalandage 2021'!I198+'Achalandage 2021'!I208+'Achalandage 2021'!I217+'Achalandage 2021'!I226+'Achalandage 2021'!I235+'Achalandage 2021'!I244+'Achalandage 2021'!I253+'Achalandage 2021'!I262+'Achalandage 2021'!I272+'Achalandage 2021'!I281+'Achalandage 2021'!I290+'Achalandage 2021'!I299+'Achalandage 2021'!I308+'Achalandage 2021'!I317+'Achalandage 2021'!I326+'Achalandage 2021'!I336+'Achalandage 2021'!I345+'Achalandage 2021'!I354+'Achalandage 2021'!I363+'Achalandage 2021'!I372+'Achalandage 2021'!I381+'Achalandage 2021'!I390</f>
        <v>450</v>
      </c>
      <c r="J16" s="70">
        <f>+'Achalandage 2021'!J16+'Achalandage 2021'!J25+'Achalandage 2021'!J34+'Achalandage 2021'!J43+'Achalandage 2021'!J52+'Achalandage 2021'!J61+'Achalandage 2021'!J70+'Achalandage 2021'!J80+'Achalandage 2021'!J89+'Achalandage 2021'!J98+'Achalandage 2021'!J107+'Achalandage 2021'!J116+'Achalandage 2021'!J125+'Achalandage 2021'!J134+'Achalandage 2021'!J144+'Achalandage 2021'!J153+'Achalandage 2021'!J162+'Achalandage 2021'!J171+'Achalandage 2021'!J180+'Achalandage 2021'!J189+'Achalandage 2021'!J198+'Achalandage 2021'!J208+'Achalandage 2021'!J217+'Achalandage 2021'!J226+'Achalandage 2021'!J235+'Achalandage 2021'!J244+'Achalandage 2021'!J253+'Achalandage 2021'!J262+'Achalandage 2021'!J272+'Achalandage 2021'!J281+'Achalandage 2021'!J290+'Achalandage 2021'!J299+'Achalandage 2021'!J308+'Achalandage 2021'!J317+'Achalandage 2021'!J326+'Achalandage 2021'!J336+'Achalandage 2021'!J345+'Achalandage 2021'!J354+'Achalandage 2021'!J363+'Achalandage 2021'!J372+'Achalandage 2021'!J381+'Achalandage 2021'!J390</f>
        <v>620</v>
      </c>
      <c r="K16" s="70">
        <f>+'Achalandage 2021'!K16+'Achalandage 2021'!K25+'Achalandage 2021'!K34+'Achalandage 2021'!K43+'Achalandage 2021'!K52+'Achalandage 2021'!K61+'Achalandage 2021'!K70+'Achalandage 2021'!K80+'Achalandage 2021'!K89+'Achalandage 2021'!K98+'Achalandage 2021'!K107+'Achalandage 2021'!K116+'Achalandage 2021'!K125+'Achalandage 2021'!K134+'Achalandage 2021'!K144+'Achalandage 2021'!K153+'Achalandage 2021'!K162+'Achalandage 2021'!K171+'Achalandage 2021'!K180+'Achalandage 2021'!K189+'Achalandage 2021'!K198+'Achalandage 2021'!K208+'Achalandage 2021'!K217+'Achalandage 2021'!K226+'Achalandage 2021'!K235+'Achalandage 2021'!K244+'Achalandage 2021'!K253+'Achalandage 2021'!K262+'Achalandage 2021'!K272+'Achalandage 2021'!K281+'Achalandage 2021'!K290+'Achalandage 2021'!K299+'Achalandage 2021'!K308+'Achalandage 2021'!K317+'Achalandage 2021'!K326+'Achalandage 2021'!K336+'Achalandage 2021'!K345+'Achalandage 2021'!K354+'Achalandage 2021'!K363+'Achalandage 2021'!K372+'Achalandage 2021'!K381+'Achalandage 2021'!K390</f>
        <v>558</v>
      </c>
      <c r="L16" s="70">
        <f>+'Achalandage 2021'!L16+'Achalandage 2021'!L25+'Achalandage 2021'!L34+'Achalandage 2021'!L43+'Achalandage 2021'!L52+'Achalandage 2021'!L61+'Achalandage 2021'!L70+'Achalandage 2021'!L80+'Achalandage 2021'!L89+'Achalandage 2021'!L98+'Achalandage 2021'!L107+'Achalandage 2021'!L116+'Achalandage 2021'!L125+'Achalandage 2021'!L134+'Achalandage 2021'!L144+'Achalandage 2021'!L153+'Achalandage 2021'!L162+'Achalandage 2021'!L171+'Achalandage 2021'!L180+'Achalandage 2021'!L189+'Achalandage 2021'!L198+'Achalandage 2021'!L208+'Achalandage 2021'!L217+'Achalandage 2021'!L226+'Achalandage 2021'!L235+'Achalandage 2021'!L244+'Achalandage 2021'!L253+'Achalandage 2021'!L262+'Achalandage 2021'!L272+'Achalandage 2021'!L281+'Achalandage 2021'!L290+'Achalandage 2021'!L299+'Achalandage 2021'!L308+'Achalandage 2021'!L317+'Achalandage 2021'!L326+'Achalandage 2021'!L336+'Achalandage 2021'!L345+'Achalandage 2021'!L354+'Achalandage 2021'!L363+'Achalandage 2021'!L372+'Achalandage 2021'!L381+'Achalandage 2021'!L390</f>
        <v>360</v>
      </c>
      <c r="M16" s="70">
        <f>+'Achalandage 2021'!M16+'Achalandage 2021'!M25+'Achalandage 2021'!M34+'Achalandage 2021'!M43+'Achalandage 2021'!M52+'Achalandage 2021'!M61+'Achalandage 2021'!M70+'Achalandage 2021'!M80+'Achalandage 2021'!M89+'Achalandage 2021'!M98+'Achalandage 2021'!M107+'Achalandage 2021'!M116+'Achalandage 2021'!M125+'Achalandage 2021'!M134+'Achalandage 2021'!M144+'Achalandage 2021'!M153+'Achalandage 2021'!M162+'Achalandage 2021'!M171+'Achalandage 2021'!M180+'Achalandage 2021'!M189+'Achalandage 2021'!M198+'Achalandage 2021'!M208+'Achalandage 2021'!M217+'Achalandage 2021'!M226+'Achalandage 2021'!M235+'Achalandage 2021'!M244+'Achalandage 2021'!M253+'Achalandage 2021'!M262+'Achalandage 2021'!M272+'Achalandage 2021'!M281+'Achalandage 2021'!M290+'Achalandage 2021'!M299+'Achalandage 2021'!M308+'Achalandage 2021'!M317+'Achalandage 2021'!M326+'Achalandage 2021'!M336+'Achalandage 2021'!M345+'Achalandage 2021'!M354+'Achalandage 2021'!M363+'Achalandage 2021'!M372+'Achalandage 2021'!M381+'Achalandage 2021'!M390</f>
        <v>341</v>
      </c>
      <c r="N16" s="70">
        <f>+'Achalandage 2021'!N16+'Achalandage 2021'!N25+'Achalandage 2021'!N34+'Achalandage 2021'!N43+'Achalandage 2021'!N52+'Achalandage 2021'!N61+'Achalandage 2021'!N70+'Achalandage 2021'!N80+'Achalandage 2021'!N89+'Achalandage 2021'!N98+'Achalandage 2021'!N107+'Achalandage 2021'!N116+'Achalandage 2021'!N125+'Achalandage 2021'!N134+'Achalandage 2021'!N144+'Achalandage 2021'!N153+'Achalandage 2021'!N162+'Achalandage 2021'!N171+'Achalandage 2021'!N180+'Achalandage 2021'!N189+'Achalandage 2021'!N198+'Achalandage 2021'!N208+'Achalandage 2021'!N217+'Achalandage 2021'!N226+'Achalandage 2021'!N235+'Achalandage 2021'!N244+'Achalandage 2021'!N253+'Achalandage 2021'!N262+'Achalandage 2021'!N272+'Achalandage 2021'!N281+'Achalandage 2021'!N290+'Achalandage 2021'!N299+'Achalandage 2021'!N308+'Achalandage 2021'!N317+'Achalandage 2021'!N326+'Achalandage 2021'!N336+'Achalandage 2021'!N345+'Achalandage 2021'!N354+'Achalandage 2021'!N363+'Achalandage 2021'!N372+'Achalandage 2021'!N381+'Achalandage 2021'!N390</f>
        <v>300</v>
      </c>
      <c r="O16" s="70">
        <f>+'Achalandage 2021'!O16+'Achalandage 2021'!O25+'Achalandage 2021'!O34+'Achalandage 2021'!O43+'Achalandage 2021'!O52+'Achalandage 2021'!O61+'Achalandage 2021'!O70+'Achalandage 2021'!O80+'Achalandage 2021'!O89+'Achalandage 2021'!O98+'Achalandage 2021'!O107+'Achalandage 2021'!O116+'Achalandage 2021'!O125+'Achalandage 2021'!O134+'Achalandage 2021'!O144+'Achalandage 2021'!O153+'Achalandage 2021'!O162+'Achalandage 2021'!O171+'Achalandage 2021'!O180+'Achalandage 2021'!O189+'Achalandage 2021'!O198+'Achalandage 2021'!O208+'Achalandage 2021'!O217+'Achalandage 2021'!O226+'Achalandage 2021'!O235+'Achalandage 2021'!O244+'Achalandage 2021'!O253+'Achalandage 2021'!O262+'Achalandage 2021'!O272+'Achalandage 2021'!O281+'Achalandage 2021'!O290+'Achalandage 2021'!O299+'Achalandage 2021'!O308+'Achalandage 2021'!O317+'Achalandage 2021'!O326+'Achalandage 2021'!O336+'Achalandage 2021'!O345+'Achalandage 2021'!O354+'Achalandage 2021'!O363+'Achalandage 2021'!O372+'Achalandage 2021'!O381+'Achalandage 2021'!O390</f>
        <v>372</v>
      </c>
      <c r="P16" s="67">
        <f t="shared" si="4"/>
        <v>4575</v>
      </c>
    </row>
    <row r="17" spans="2:16" x14ac:dyDescent="0.15">
      <c r="B17" s="101">
        <v>7</v>
      </c>
      <c r="C17" s="102" t="s">
        <v>9</v>
      </c>
      <c r="D17" s="70">
        <f>+'Achalandage 2021'!D17+'Achalandage 2021'!D26+'Achalandage 2021'!D35+'Achalandage 2021'!D44+'Achalandage 2021'!D53+'Achalandage 2021'!D62+'Achalandage 2021'!D71+'Achalandage 2021'!D81+'Achalandage 2021'!D90+'Achalandage 2021'!D99+'Achalandage 2021'!D108+'Achalandage 2021'!D117+'Achalandage 2021'!D126+'Achalandage 2021'!D135+'Achalandage 2021'!D145+'Achalandage 2021'!D154+'Achalandage 2021'!D163+'Achalandage 2021'!D172+'Achalandage 2021'!D181+'Achalandage 2021'!D190+'Achalandage 2021'!D199+'Achalandage 2021'!D209+'Achalandage 2021'!D218+'Achalandage 2021'!D227+'Achalandage 2021'!D236+'Achalandage 2021'!D245+'Achalandage 2021'!D254+'Achalandage 2021'!D263+'Achalandage 2021'!D273+'Achalandage 2021'!D282+'Achalandage 2021'!D291+'Achalandage 2021'!D300+'Achalandage 2021'!D309+'Achalandage 2021'!D318+'Achalandage 2021'!D327+'Achalandage 2021'!D337+'Achalandage 2021'!D346+'Achalandage 2021'!D355+'Achalandage 2021'!D364+'Achalandage 2021'!D373+'Achalandage 2021'!D382+'Achalandage 2021'!D391</f>
        <v>0</v>
      </c>
      <c r="E17" s="70">
        <f>+'Achalandage 2021'!E17+'Achalandage 2021'!E26+'Achalandage 2021'!E35+'Achalandage 2021'!E44+'Achalandage 2021'!E53+'Achalandage 2021'!E62+'Achalandage 2021'!E71+'Achalandage 2021'!E81+'Achalandage 2021'!E90+'Achalandage 2021'!E99+'Achalandage 2021'!E108+'Achalandage 2021'!E117+'Achalandage 2021'!E126+'Achalandage 2021'!E135+'Achalandage 2021'!E145+'Achalandage 2021'!E154+'Achalandage 2021'!E163+'Achalandage 2021'!E172+'Achalandage 2021'!E181+'Achalandage 2021'!E190+'Achalandage 2021'!E199+'Achalandage 2021'!E209+'Achalandage 2021'!E218+'Achalandage 2021'!E227+'Achalandage 2021'!E236+'Achalandage 2021'!E245+'Achalandage 2021'!E254+'Achalandage 2021'!E263+'Achalandage 2021'!E273+'Achalandage 2021'!E282+'Achalandage 2021'!E291+'Achalandage 2021'!E300+'Achalandage 2021'!E309+'Achalandage 2021'!E318+'Achalandage 2021'!E327+'Achalandage 2021'!E337+'Achalandage 2021'!E346+'Achalandage 2021'!E355+'Achalandage 2021'!E364+'Achalandage 2021'!E373+'Achalandage 2021'!E382+'Achalandage 2021'!E391</f>
        <v>0</v>
      </c>
      <c r="F17" s="70">
        <f>+'Achalandage 2021'!F17+'Achalandage 2021'!F26+'Achalandage 2021'!F35+'Achalandage 2021'!F44+'Achalandage 2021'!F53+'Achalandage 2021'!F62+'Achalandage 2021'!F71+'Achalandage 2021'!F81+'Achalandage 2021'!F90+'Achalandage 2021'!F99+'Achalandage 2021'!F108+'Achalandage 2021'!F117+'Achalandage 2021'!F126+'Achalandage 2021'!F135+'Achalandage 2021'!F145+'Achalandage 2021'!F154+'Achalandage 2021'!F163+'Achalandage 2021'!F172+'Achalandage 2021'!F181+'Achalandage 2021'!F190+'Achalandage 2021'!F199+'Achalandage 2021'!F209+'Achalandage 2021'!F218+'Achalandage 2021'!F227+'Achalandage 2021'!F236+'Achalandage 2021'!F245+'Achalandage 2021'!F254+'Achalandage 2021'!F263+'Achalandage 2021'!F273+'Achalandage 2021'!F282+'Achalandage 2021'!F291+'Achalandage 2021'!F300+'Achalandage 2021'!F309+'Achalandage 2021'!F318+'Achalandage 2021'!F327+'Achalandage 2021'!F337+'Achalandage 2021'!F346+'Achalandage 2021'!F355+'Achalandage 2021'!F364+'Achalandage 2021'!F373+'Achalandage 2021'!F382+'Achalandage 2021'!F391</f>
        <v>0</v>
      </c>
      <c r="G17" s="70">
        <f>+'Achalandage 2021'!G17+'Achalandage 2021'!G26+'Achalandage 2021'!G35+'Achalandage 2021'!G44+'Achalandage 2021'!G53+'Achalandage 2021'!G62+'Achalandage 2021'!G71+'Achalandage 2021'!G81+'Achalandage 2021'!G90+'Achalandage 2021'!G99+'Achalandage 2021'!G108+'Achalandage 2021'!G117+'Achalandage 2021'!G126+'Achalandage 2021'!G135+'Achalandage 2021'!G145+'Achalandage 2021'!G154+'Achalandage 2021'!G163+'Achalandage 2021'!G172+'Achalandage 2021'!G181+'Achalandage 2021'!G190+'Achalandage 2021'!G199+'Achalandage 2021'!G209+'Achalandage 2021'!G218+'Achalandage 2021'!G227+'Achalandage 2021'!G236+'Achalandage 2021'!G245+'Achalandage 2021'!G254+'Achalandage 2021'!G263+'Achalandage 2021'!G273+'Achalandage 2021'!G282+'Achalandage 2021'!G291+'Achalandage 2021'!G300+'Achalandage 2021'!G309+'Achalandage 2021'!G318+'Achalandage 2021'!G327+'Achalandage 2021'!G337+'Achalandage 2021'!G346+'Achalandage 2021'!G355+'Achalandage 2021'!G364+'Achalandage 2021'!G373+'Achalandage 2021'!G382+'Achalandage 2021'!G391</f>
        <v>0</v>
      </c>
      <c r="H17" s="70">
        <f>+'Achalandage 2021'!H17+'Achalandage 2021'!H26+'Achalandage 2021'!H35+'Achalandage 2021'!H44+'Achalandage 2021'!H53+'Achalandage 2021'!H62+'Achalandage 2021'!H71+'Achalandage 2021'!H81+'Achalandage 2021'!H90+'Achalandage 2021'!H99+'Achalandage 2021'!H108+'Achalandage 2021'!H117+'Achalandage 2021'!H126+'Achalandage 2021'!H135+'Achalandage 2021'!H145+'Achalandage 2021'!H154+'Achalandage 2021'!H163+'Achalandage 2021'!H172+'Achalandage 2021'!H181+'Achalandage 2021'!H190+'Achalandage 2021'!H199+'Achalandage 2021'!H209+'Achalandage 2021'!H218+'Achalandage 2021'!H227+'Achalandage 2021'!H236+'Achalandage 2021'!H245+'Achalandage 2021'!H254+'Achalandage 2021'!H263+'Achalandage 2021'!H273+'Achalandage 2021'!H282+'Achalandage 2021'!H291+'Achalandage 2021'!H300+'Achalandage 2021'!H309+'Achalandage 2021'!H318+'Achalandage 2021'!H327+'Achalandage 2021'!H337+'Achalandage 2021'!H346+'Achalandage 2021'!H355+'Achalandage 2021'!H364+'Achalandage 2021'!H373+'Achalandage 2021'!H382+'Achalandage 2021'!H391</f>
        <v>0</v>
      </c>
      <c r="I17" s="70">
        <f>+'Achalandage 2021'!I17+'Achalandage 2021'!I26+'Achalandage 2021'!I35+'Achalandage 2021'!I44+'Achalandage 2021'!I53+'Achalandage 2021'!I62+'Achalandage 2021'!I71+'Achalandage 2021'!I81+'Achalandage 2021'!I90+'Achalandage 2021'!I99+'Achalandage 2021'!I108+'Achalandage 2021'!I117+'Achalandage 2021'!I126+'Achalandage 2021'!I135+'Achalandage 2021'!I145+'Achalandage 2021'!I154+'Achalandage 2021'!I163+'Achalandage 2021'!I172+'Achalandage 2021'!I181+'Achalandage 2021'!I190+'Achalandage 2021'!I199+'Achalandage 2021'!I209+'Achalandage 2021'!I218+'Achalandage 2021'!I227+'Achalandage 2021'!I236+'Achalandage 2021'!I245+'Achalandage 2021'!I254+'Achalandage 2021'!I263+'Achalandage 2021'!I273+'Achalandage 2021'!I282+'Achalandage 2021'!I291+'Achalandage 2021'!I300+'Achalandage 2021'!I309+'Achalandage 2021'!I318+'Achalandage 2021'!I327+'Achalandage 2021'!I337+'Achalandage 2021'!I346+'Achalandage 2021'!I355+'Achalandage 2021'!I364+'Achalandage 2021'!I373+'Achalandage 2021'!I382+'Achalandage 2021'!I391</f>
        <v>0</v>
      </c>
      <c r="J17" s="70">
        <f>+'Achalandage 2021'!J17+'Achalandage 2021'!J26+'Achalandage 2021'!J35+'Achalandage 2021'!J44+'Achalandage 2021'!J53+'Achalandage 2021'!J62+'Achalandage 2021'!J71+'Achalandage 2021'!J81+'Achalandage 2021'!J90+'Achalandage 2021'!J99+'Achalandage 2021'!J108+'Achalandage 2021'!J117+'Achalandage 2021'!J126+'Achalandage 2021'!J135+'Achalandage 2021'!J145+'Achalandage 2021'!J154+'Achalandage 2021'!J163+'Achalandage 2021'!J172+'Achalandage 2021'!J181+'Achalandage 2021'!J190+'Achalandage 2021'!J199+'Achalandage 2021'!J209+'Achalandage 2021'!J218+'Achalandage 2021'!J227+'Achalandage 2021'!J236+'Achalandage 2021'!J245+'Achalandage 2021'!J254+'Achalandage 2021'!J263+'Achalandage 2021'!J273+'Achalandage 2021'!J282+'Achalandage 2021'!J291+'Achalandage 2021'!J300+'Achalandage 2021'!J309+'Achalandage 2021'!J318+'Achalandage 2021'!J327+'Achalandage 2021'!J337+'Achalandage 2021'!J346+'Achalandage 2021'!J355+'Achalandage 2021'!J364+'Achalandage 2021'!J373+'Achalandage 2021'!J382+'Achalandage 2021'!J391</f>
        <v>0</v>
      </c>
      <c r="K17" s="70">
        <f>+'Achalandage 2021'!K17+'Achalandage 2021'!K26+'Achalandage 2021'!K35+'Achalandage 2021'!K44+'Achalandage 2021'!K53+'Achalandage 2021'!K62+'Achalandage 2021'!K71+'Achalandage 2021'!K81+'Achalandage 2021'!K90+'Achalandage 2021'!K99+'Achalandage 2021'!K108+'Achalandage 2021'!K117+'Achalandage 2021'!K126+'Achalandage 2021'!K135+'Achalandage 2021'!K145+'Achalandage 2021'!K154+'Achalandage 2021'!K163+'Achalandage 2021'!K172+'Achalandage 2021'!K181+'Achalandage 2021'!K190+'Achalandage 2021'!K199+'Achalandage 2021'!K209+'Achalandage 2021'!K218+'Achalandage 2021'!K227+'Achalandage 2021'!K236+'Achalandage 2021'!K245+'Achalandage 2021'!K254+'Achalandage 2021'!K263+'Achalandage 2021'!K273+'Achalandage 2021'!K282+'Achalandage 2021'!K291+'Achalandage 2021'!K300+'Achalandage 2021'!K309+'Achalandage 2021'!K318+'Achalandage 2021'!K327+'Achalandage 2021'!K337+'Achalandage 2021'!K346+'Achalandage 2021'!K355+'Achalandage 2021'!K364+'Achalandage 2021'!K373+'Achalandage 2021'!K382+'Achalandage 2021'!K391</f>
        <v>0</v>
      </c>
      <c r="L17" s="70">
        <f>+'Achalandage 2021'!L17+'Achalandage 2021'!L26+'Achalandage 2021'!L35+'Achalandage 2021'!L44+'Achalandage 2021'!L53+'Achalandage 2021'!L62+'Achalandage 2021'!L71+'Achalandage 2021'!L81+'Achalandage 2021'!L90+'Achalandage 2021'!L99+'Achalandage 2021'!L108+'Achalandage 2021'!L117+'Achalandage 2021'!L126+'Achalandage 2021'!L135+'Achalandage 2021'!L145+'Achalandage 2021'!L154+'Achalandage 2021'!L163+'Achalandage 2021'!L172+'Achalandage 2021'!L181+'Achalandage 2021'!L190+'Achalandage 2021'!L199+'Achalandage 2021'!L209+'Achalandage 2021'!L218+'Achalandage 2021'!L227+'Achalandage 2021'!L236+'Achalandage 2021'!L245+'Achalandage 2021'!L254+'Achalandage 2021'!L263+'Achalandage 2021'!L273+'Achalandage 2021'!L282+'Achalandage 2021'!L291+'Achalandage 2021'!L300+'Achalandage 2021'!L309+'Achalandage 2021'!L318+'Achalandage 2021'!L327+'Achalandage 2021'!L337+'Achalandage 2021'!L346+'Achalandage 2021'!L355+'Achalandage 2021'!L364+'Achalandage 2021'!L373+'Achalandage 2021'!L382+'Achalandage 2021'!L391</f>
        <v>0</v>
      </c>
      <c r="M17" s="70">
        <f>+'Achalandage 2021'!M17+'Achalandage 2021'!M26+'Achalandage 2021'!M35+'Achalandage 2021'!M44+'Achalandage 2021'!M53+'Achalandage 2021'!M62+'Achalandage 2021'!M71+'Achalandage 2021'!M81+'Achalandage 2021'!M90+'Achalandage 2021'!M99+'Achalandage 2021'!M108+'Achalandage 2021'!M117+'Achalandage 2021'!M126+'Achalandage 2021'!M135+'Achalandage 2021'!M145+'Achalandage 2021'!M154+'Achalandage 2021'!M163+'Achalandage 2021'!M172+'Achalandage 2021'!M181+'Achalandage 2021'!M190+'Achalandage 2021'!M199+'Achalandage 2021'!M209+'Achalandage 2021'!M218+'Achalandage 2021'!M227+'Achalandage 2021'!M236+'Achalandage 2021'!M245+'Achalandage 2021'!M254+'Achalandage 2021'!M263+'Achalandage 2021'!M273+'Achalandage 2021'!M282+'Achalandage 2021'!M291+'Achalandage 2021'!M300+'Achalandage 2021'!M309+'Achalandage 2021'!M318+'Achalandage 2021'!M327+'Achalandage 2021'!M337+'Achalandage 2021'!M346+'Achalandage 2021'!M355+'Achalandage 2021'!M364+'Achalandage 2021'!M373+'Achalandage 2021'!M382+'Achalandage 2021'!M391</f>
        <v>0</v>
      </c>
      <c r="N17" s="70">
        <f>+'Achalandage 2021'!N17+'Achalandage 2021'!N26+'Achalandage 2021'!N35+'Achalandage 2021'!N44+'Achalandage 2021'!N53+'Achalandage 2021'!N62+'Achalandage 2021'!N71+'Achalandage 2021'!N81+'Achalandage 2021'!N90+'Achalandage 2021'!N99+'Achalandage 2021'!N108+'Achalandage 2021'!N117+'Achalandage 2021'!N126+'Achalandage 2021'!N135+'Achalandage 2021'!N145+'Achalandage 2021'!N154+'Achalandage 2021'!N163+'Achalandage 2021'!N172+'Achalandage 2021'!N181+'Achalandage 2021'!N190+'Achalandage 2021'!N199+'Achalandage 2021'!N209+'Achalandage 2021'!N218+'Achalandage 2021'!N227+'Achalandage 2021'!N236+'Achalandage 2021'!N245+'Achalandage 2021'!N254+'Achalandage 2021'!N263+'Achalandage 2021'!N273+'Achalandage 2021'!N282+'Achalandage 2021'!N291+'Achalandage 2021'!N300+'Achalandage 2021'!N309+'Achalandage 2021'!N318+'Achalandage 2021'!N327+'Achalandage 2021'!N337+'Achalandage 2021'!N346+'Achalandage 2021'!N355+'Achalandage 2021'!N364+'Achalandage 2021'!N373+'Achalandage 2021'!N382+'Achalandage 2021'!N391</f>
        <v>0</v>
      </c>
      <c r="O17" s="70">
        <f>+'Achalandage 2021'!O17+'Achalandage 2021'!O26+'Achalandage 2021'!O35+'Achalandage 2021'!O44+'Achalandage 2021'!O53+'Achalandage 2021'!O62+'Achalandage 2021'!O71+'Achalandage 2021'!O81+'Achalandage 2021'!O90+'Achalandage 2021'!O99+'Achalandage 2021'!O108+'Achalandage 2021'!O117+'Achalandage 2021'!O126+'Achalandage 2021'!O135+'Achalandage 2021'!O145+'Achalandage 2021'!O154+'Achalandage 2021'!O163+'Achalandage 2021'!O172+'Achalandage 2021'!O181+'Achalandage 2021'!O190+'Achalandage 2021'!O199+'Achalandage 2021'!O209+'Achalandage 2021'!O218+'Achalandage 2021'!O227+'Achalandage 2021'!O236+'Achalandage 2021'!O245+'Achalandage 2021'!O254+'Achalandage 2021'!O263+'Achalandage 2021'!O273+'Achalandage 2021'!O282+'Achalandage 2021'!O291+'Achalandage 2021'!O300+'Achalandage 2021'!O309+'Achalandage 2021'!O318+'Achalandage 2021'!O327+'Achalandage 2021'!O337+'Achalandage 2021'!O346+'Achalandage 2021'!O355+'Achalandage 2021'!O364+'Achalandage 2021'!O373+'Achalandage 2021'!O382+'Achalandage 2021'!O391</f>
        <v>0</v>
      </c>
      <c r="P17" s="67">
        <f t="shared" si="4"/>
        <v>0</v>
      </c>
    </row>
    <row r="18" spans="2:16" ht="14" thickBot="1" x14ac:dyDescent="0.2">
      <c r="B18" s="103"/>
      <c r="C18" s="104" t="s">
        <v>10</v>
      </c>
      <c r="D18" s="65">
        <f t="shared" ref="D18:P18" si="5">+D11+D12+D13+D14+D15+D16+D17</f>
        <v>1550</v>
      </c>
      <c r="E18" s="65">
        <f t="shared" si="5"/>
        <v>1260</v>
      </c>
      <c r="F18" s="65">
        <f t="shared" si="5"/>
        <v>1550</v>
      </c>
      <c r="G18" s="65">
        <f t="shared" si="5"/>
        <v>1650</v>
      </c>
      <c r="H18" s="65">
        <f t="shared" si="5"/>
        <v>1860</v>
      </c>
      <c r="I18" s="65">
        <f t="shared" si="5"/>
        <v>2250</v>
      </c>
      <c r="J18" s="65">
        <f t="shared" si="5"/>
        <v>3100</v>
      </c>
      <c r="K18" s="65">
        <f t="shared" si="5"/>
        <v>2790</v>
      </c>
      <c r="L18" s="65">
        <f t="shared" si="5"/>
        <v>1800</v>
      </c>
      <c r="M18" s="65">
        <f t="shared" si="5"/>
        <v>1705</v>
      </c>
      <c r="N18" s="65">
        <f t="shared" si="5"/>
        <v>1500</v>
      </c>
      <c r="O18" s="65">
        <f t="shared" si="5"/>
        <v>1860</v>
      </c>
      <c r="P18" s="68">
        <f t="shared" si="5"/>
        <v>22875</v>
      </c>
    </row>
    <row r="19" spans="2:16" ht="15" thickTop="1" thickBot="1" x14ac:dyDescent="0.2">
      <c r="B19" s="827" t="s">
        <v>51</v>
      </c>
      <c r="C19" s="828"/>
      <c r="D19" s="110">
        <f>+'Achalandage 2021'!D395</f>
        <v>1550</v>
      </c>
      <c r="E19" s="110">
        <f>+'Achalandage 2021'!E395</f>
        <v>1260</v>
      </c>
      <c r="F19" s="110">
        <f>+'Achalandage 2021'!F395</f>
        <v>1550</v>
      </c>
      <c r="G19" s="110">
        <f>+'Achalandage 2021'!G395</f>
        <v>1650</v>
      </c>
      <c r="H19" s="110">
        <f>+'Achalandage 2021'!H395</f>
        <v>1860</v>
      </c>
      <c r="I19" s="110">
        <f>+'Achalandage 2021'!I395</f>
        <v>2250</v>
      </c>
      <c r="J19" s="110">
        <f>+'Achalandage 2021'!J395</f>
        <v>3100</v>
      </c>
      <c r="K19" s="110">
        <f>+'Achalandage 2021'!K395</f>
        <v>2790</v>
      </c>
      <c r="L19" s="110">
        <f>+'Achalandage 2021'!L395</f>
        <v>1800</v>
      </c>
      <c r="M19" s="110">
        <f>+'Achalandage 2021'!M395</f>
        <v>1705</v>
      </c>
      <c r="N19" s="110">
        <f>+'Achalandage 2021'!N395</f>
        <v>1500</v>
      </c>
      <c r="O19" s="110">
        <f>+'Achalandage 2021'!O395</f>
        <v>1860</v>
      </c>
      <c r="P19" s="111">
        <f>+D19+E19+F19+G19+H19+I19+J19+K19+L19+M19+N19+O19</f>
        <v>22875</v>
      </c>
    </row>
    <row r="20" spans="2:16" ht="15" thickTop="1" thickBot="1" x14ac:dyDescent="0.2">
      <c r="B20" s="105"/>
      <c r="C20" s="105"/>
      <c r="D20" s="105"/>
      <c r="E20" s="105"/>
      <c r="F20" s="105"/>
      <c r="G20" s="105"/>
      <c r="H20" s="105"/>
      <c r="I20" s="105"/>
      <c r="J20" s="105"/>
      <c r="K20" s="105"/>
      <c r="L20" s="105"/>
      <c r="M20" s="105"/>
      <c r="N20" s="105"/>
      <c r="O20" s="105"/>
      <c r="P20" s="105"/>
    </row>
    <row r="21" spans="2:16" ht="15" thickTop="1" thickBot="1" x14ac:dyDescent="0.2">
      <c r="B21" s="825" t="s">
        <v>53</v>
      </c>
      <c r="C21" s="826"/>
      <c r="D21" s="112">
        <f t="shared" ref="D21:P21" si="6">+D19/(D7*D9)</f>
        <v>1</v>
      </c>
      <c r="E21" s="112">
        <f t="shared" si="6"/>
        <v>0.9</v>
      </c>
      <c r="F21" s="112">
        <f t="shared" si="6"/>
        <v>1</v>
      </c>
      <c r="G21" s="112">
        <f t="shared" si="6"/>
        <v>1.1000000000000001</v>
      </c>
      <c r="H21" s="112">
        <f t="shared" si="6"/>
        <v>1.2</v>
      </c>
      <c r="I21" s="112">
        <f t="shared" si="6"/>
        <v>1.5</v>
      </c>
      <c r="J21" s="112">
        <f t="shared" si="6"/>
        <v>2</v>
      </c>
      <c r="K21" s="112">
        <f t="shared" si="6"/>
        <v>1.8</v>
      </c>
      <c r="L21" s="112">
        <f t="shared" si="6"/>
        <v>1.2</v>
      </c>
      <c r="M21" s="112">
        <f t="shared" si="6"/>
        <v>1.1000000000000001</v>
      </c>
      <c r="N21" s="112">
        <f t="shared" si="6"/>
        <v>1</v>
      </c>
      <c r="O21" s="112">
        <f t="shared" si="6"/>
        <v>1.2</v>
      </c>
      <c r="P21" s="113">
        <f t="shared" si="6"/>
        <v>1.2534246575342465</v>
      </c>
    </row>
    <row r="22" spans="2:16" ht="15" thickTop="1" thickBot="1" x14ac:dyDescent="0.2">
      <c r="B22" s="105"/>
      <c r="C22" s="105"/>
      <c r="D22" s="105"/>
      <c r="E22" s="105"/>
      <c r="F22" s="105"/>
      <c r="G22" s="105"/>
      <c r="H22" s="105"/>
      <c r="I22" s="105"/>
      <c r="J22" s="105"/>
      <c r="K22" s="105"/>
      <c r="L22" s="105"/>
      <c r="M22" s="105"/>
      <c r="N22" s="105"/>
      <c r="O22" s="105"/>
      <c r="P22" s="105"/>
    </row>
    <row r="23" spans="2:16" ht="15" thickTop="1" thickBot="1" x14ac:dyDescent="0.2">
      <c r="B23" s="825" t="s">
        <v>54</v>
      </c>
      <c r="C23" s="826"/>
      <c r="D23" s="114">
        <f t="shared" ref="D23:P23" si="7">+D19/(D7*D9)</f>
        <v>1</v>
      </c>
      <c r="E23" s="114">
        <f t="shared" si="7"/>
        <v>0.9</v>
      </c>
      <c r="F23" s="114">
        <f t="shared" si="7"/>
        <v>1</v>
      </c>
      <c r="G23" s="114">
        <f t="shared" si="7"/>
        <v>1.1000000000000001</v>
      </c>
      <c r="H23" s="114">
        <f t="shared" si="7"/>
        <v>1.2</v>
      </c>
      <c r="I23" s="114">
        <f t="shared" si="7"/>
        <v>1.5</v>
      </c>
      <c r="J23" s="114">
        <f t="shared" si="7"/>
        <v>2</v>
      </c>
      <c r="K23" s="114">
        <f t="shared" si="7"/>
        <v>1.8</v>
      </c>
      <c r="L23" s="114">
        <f t="shared" si="7"/>
        <v>1.2</v>
      </c>
      <c r="M23" s="114">
        <f t="shared" si="7"/>
        <v>1.1000000000000001</v>
      </c>
      <c r="N23" s="114">
        <f t="shared" si="7"/>
        <v>1</v>
      </c>
      <c r="O23" s="114">
        <f t="shared" si="7"/>
        <v>1.2</v>
      </c>
      <c r="P23" s="115">
        <f t="shared" si="7"/>
        <v>1.2534246575342465</v>
      </c>
    </row>
    <row r="24" spans="2:16" ht="14" thickTop="1" x14ac:dyDescent="0.15"/>
  </sheetData>
  <sheetProtection algorithmName="SHA-512" hashValue="0mQqxfpqdV5SiNRvNf7pVlVPYNSt0M6RaFTnOARzv/6F7UH9SIZvMJEAHrppevM0ilWMp3BPF++6IIAh9p8U0Q==" saltValue="W/cn5qtzbkOLkSmfl/614w==" spinCount="100000" sheet="1" objects="1" scenarios="1"/>
  <mergeCells count="9">
    <mergeCell ref="B2:P2"/>
    <mergeCell ref="B3:P3"/>
    <mergeCell ref="B4:P4"/>
    <mergeCell ref="B21:C21"/>
    <mergeCell ref="B23:C23"/>
    <mergeCell ref="B19:C19"/>
    <mergeCell ref="B7:C7"/>
    <mergeCell ref="B8:C8"/>
    <mergeCell ref="B9:C9"/>
  </mergeCells>
  <pageMargins left="0.75" right="0.75" top="1" bottom="1" header="0.5" footer="0.5"/>
  <pageSetup orientation="portrait" horizontalDpi="4294967292" verticalDpi="4294967292"/>
  <ignoredErrors>
    <ignoredError sqref="P18" formula="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0ED51-A12D-B040-8319-182A9AF851F3}">
  <sheetPr codeName="Feuil4">
    <tabColor theme="1"/>
  </sheetPr>
  <dimension ref="B1:BV123"/>
  <sheetViews>
    <sheetView zoomScale="150" workbookViewId="0">
      <pane xSplit="3" ySplit="3" topLeftCell="E4" activePane="bottomRight" state="frozen"/>
      <selection pane="topRight" activeCell="D1" sqref="D1"/>
      <selection pane="bottomLeft" activeCell="A4" sqref="A4"/>
      <selection pane="bottomRight" activeCell="B122" sqref="B122"/>
    </sheetView>
  </sheetViews>
  <sheetFormatPr baseColWidth="10" defaultRowHeight="13" x14ac:dyDescent="0.15"/>
  <cols>
    <col min="1" max="1" width="3.6640625" style="161" customWidth="1"/>
    <col min="2" max="2" width="10.1640625" style="161" customWidth="1"/>
    <col min="3" max="3" width="2" style="161" customWidth="1"/>
    <col min="4" max="4" width="8.5" style="161" bestFit="1" customWidth="1"/>
    <col min="5" max="5" width="29.33203125" style="161" customWidth="1"/>
    <col min="6" max="6" width="2.5" style="161" bestFit="1" customWidth="1"/>
    <col min="7" max="7" width="32.83203125" style="161" bestFit="1" customWidth="1"/>
    <col min="8" max="8" width="2.33203125" style="161" bestFit="1" customWidth="1"/>
    <col min="9" max="9" width="2" style="161" bestFit="1" customWidth="1"/>
    <col min="10" max="10" width="9.83203125" style="161" customWidth="1"/>
    <col min="11" max="11" width="2.33203125" style="161" bestFit="1" customWidth="1"/>
    <col min="12" max="12" width="9.5" style="161" bestFit="1" customWidth="1"/>
    <col min="13" max="13" width="2" style="161" bestFit="1" customWidth="1"/>
    <col min="14" max="14" width="8.5" style="161" bestFit="1" customWidth="1"/>
    <col min="15" max="15" width="3.5" style="161" bestFit="1" customWidth="1"/>
    <col min="16" max="16" width="8.5" style="161" customWidth="1"/>
    <col min="17" max="17" width="24.5" style="161" bestFit="1" customWidth="1"/>
    <col min="18" max="18" width="2.5" style="161" bestFit="1" customWidth="1"/>
    <col min="19" max="19" width="26.33203125" style="161" bestFit="1" customWidth="1"/>
    <col min="20" max="20" width="2.33203125" style="161" bestFit="1" customWidth="1"/>
    <col min="21" max="21" width="2" style="161" bestFit="1" customWidth="1"/>
    <col min="22" max="22" width="10.83203125" style="161"/>
    <col min="23" max="23" width="2.33203125" style="161" bestFit="1" customWidth="1"/>
    <col min="24" max="24" width="10.83203125" style="161"/>
    <col min="25" max="25" width="2" style="161" bestFit="1" customWidth="1"/>
    <col min="26" max="26" width="8.5" style="161" bestFit="1" customWidth="1"/>
    <col min="27" max="27" width="3.5" style="161" bestFit="1" customWidth="1"/>
    <col min="28" max="28" width="8.5" style="161" bestFit="1" customWidth="1"/>
    <col min="29" max="29" width="24.5" style="161" bestFit="1" customWidth="1"/>
    <col min="30" max="30" width="2.5" style="161" bestFit="1" customWidth="1"/>
    <col min="31" max="31" width="26.33203125" style="161" bestFit="1" customWidth="1"/>
    <col min="32" max="32" width="2.33203125" style="161" bestFit="1" customWidth="1"/>
    <col min="33" max="33" width="2" style="161" bestFit="1" customWidth="1"/>
    <col min="34" max="34" width="10.83203125" style="161"/>
    <col min="35" max="35" width="2.33203125" style="161" bestFit="1" customWidth="1"/>
    <col min="36" max="36" width="10.83203125" style="161"/>
    <col min="37" max="37" width="2" style="161" bestFit="1" customWidth="1"/>
    <col min="38" max="38" width="8.5" style="161" bestFit="1" customWidth="1"/>
    <col min="39" max="39" width="3.5" style="161" bestFit="1" customWidth="1"/>
    <col min="40" max="40" width="8.5" style="161" bestFit="1" customWidth="1"/>
    <col min="41" max="41" width="24.5" style="161" bestFit="1" customWidth="1"/>
    <col min="42" max="42" width="2.5" style="161" bestFit="1" customWidth="1"/>
    <col min="43" max="43" width="26.33203125" style="161" bestFit="1" customWidth="1"/>
    <col min="44" max="44" width="2.33203125" style="161" bestFit="1" customWidth="1"/>
    <col min="45" max="45" width="2" style="161" bestFit="1" customWidth="1"/>
    <col min="46" max="46" width="10.83203125" style="161"/>
    <col min="47" max="47" width="2.33203125" style="161" bestFit="1" customWidth="1"/>
    <col min="48" max="48" width="10.83203125" style="161"/>
    <col min="49" max="49" width="2" style="161" bestFit="1" customWidth="1"/>
    <col min="50" max="50" width="8.5" style="161" bestFit="1" customWidth="1"/>
    <col min="51" max="51" width="2.6640625" style="161" customWidth="1"/>
    <col min="52" max="52" width="8.5" style="161" bestFit="1" customWidth="1"/>
    <col min="53" max="53" width="22.83203125" style="161" bestFit="1" customWidth="1"/>
    <col min="54" max="54" width="2.5" style="161" bestFit="1" customWidth="1"/>
    <col min="55" max="55" width="26.83203125" style="161" bestFit="1" customWidth="1"/>
    <col min="56" max="56" width="2.33203125" style="161" bestFit="1" customWidth="1"/>
    <col min="57" max="57" width="2" style="161" bestFit="1" customWidth="1"/>
    <col min="58" max="58" width="10.83203125" style="161"/>
    <col min="59" max="59" width="2.33203125" style="161" bestFit="1" customWidth="1"/>
    <col min="60" max="60" width="10.83203125" style="161"/>
    <col min="61" max="61" width="2" style="161" bestFit="1" customWidth="1"/>
    <col min="62" max="62" width="8.5" style="161" bestFit="1" customWidth="1"/>
    <col min="63" max="63" width="2" style="161" customWidth="1"/>
    <col min="64" max="64" width="8.5" style="161" bestFit="1" customWidth="1"/>
    <col min="65" max="65" width="21" style="161" bestFit="1" customWidth="1"/>
    <col min="66" max="66" width="2.5" style="161" bestFit="1" customWidth="1"/>
    <col min="67" max="67" width="26.83203125" style="161" bestFit="1" customWidth="1"/>
    <col min="68" max="68" width="2.33203125" style="161" bestFit="1" customWidth="1"/>
    <col min="69" max="69" width="2" style="161" bestFit="1" customWidth="1"/>
    <col min="70" max="70" width="10.83203125" style="161"/>
    <col min="71" max="71" width="2.33203125" style="161" bestFit="1" customWidth="1"/>
    <col min="72" max="72" width="10.83203125" style="161"/>
    <col min="73" max="73" width="2" style="161" bestFit="1" customWidth="1"/>
    <col min="74" max="74" width="8.5" style="161" bestFit="1" customWidth="1"/>
    <col min="75" max="16384" width="10.83203125" style="161"/>
  </cols>
  <sheetData>
    <row r="1" spans="2:74" ht="5" customHeight="1" thickBot="1" x14ac:dyDescent="0.2"/>
    <row r="2" spans="2:74" ht="14" customHeight="1" thickTop="1" x14ac:dyDescent="0.15">
      <c r="D2" s="870" t="s">
        <v>10</v>
      </c>
      <c r="E2" s="871"/>
      <c r="F2" s="871"/>
      <c r="G2" s="871"/>
      <c r="H2" s="871"/>
      <c r="I2" s="871"/>
      <c r="J2" s="871"/>
      <c r="K2" s="871"/>
      <c r="L2" s="871"/>
      <c r="M2" s="871"/>
      <c r="N2" s="872"/>
      <c r="P2" s="870" t="s">
        <v>171</v>
      </c>
      <c r="Q2" s="871"/>
      <c r="R2" s="871"/>
      <c r="S2" s="871"/>
      <c r="T2" s="871"/>
      <c r="U2" s="871"/>
      <c r="V2" s="871"/>
      <c r="W2" s="871"/>
      <c r="X2" s="871"/>
      <c r="Y2" s="871"/>
      <c r="Z2" s="872"/>
      <c r="AB2" s="870" t="s">
        <v>170</v>
      </c>
      <c r="AC2" s="871"/>
      <c r="AD2" s="871"/>
      <c r="AE2" s="871"/>
      <c r="AF2" s="871"/>
      <c r="AG2" s="871"/>
      <c r="AH2" s="871"/>
      <c r="AI2" s="871"/>
      <c r="AJ2" s="871"/>
      <c r="AK2" s="871"/>
      <c r="AL2" s="872"/>
      <c r="AN2" s="870" t="s">
        <v>172</v>
      </c>
      <c r="AO2" s="871"/>
      <c r="AP2" s="871"/>
      <c r="AQ2" s="871"/>
      <c r="AR2" s="871"/>
      <c r="AS2" s="871"/>
      <c r="AT2" s="871"/>
      <c r="AU2" s="871"/>
      <c r="AV2" s="871"/>
      <c r="AW2" s="871"/>
      <c r="AX2" s="872"/>
      <c r="AZ2" s="870" t="s">
        <v>240</v>
      </c>
      <c r="BA2" s="871"/>
      <c r="BB2" s="871"/>
      <c r="BC2" s="871"/>
      <c r="BD2" s="871"/>
      <c r="BE2" s="871"/>
      <c r="BF2" s="871"/>
      <c r="BG2" s="871"/>
      <c r="BH2" s="871"/>
      <c r="BI2" s="871"/>
      <c r="BJ2" s="872"/>
      <c r="BL2" s="870" t="s">
        <v>241</v>
      </c>
      <c r="BM2" s="871"/>
      <c r="BN2" s="871"/>
      <c r="BO2" s="871"/>
      <c r="BP2" s="871"/>
      <c r="BQ2" s="871"/>
      <c r="BR2" s="871"/>
      <c r="BS2" s="871"/>
      <c r="BT2" s="871"/>
      <c r="BU2" s="871"/>
      <c r="BV2" s="872"/>
    </row>
    <row r="3" spans="2:74" ht="14" customHeight="1" thickBot="1" x14ac:dyDescent="0.2">
      <c r="C3" s="210"/>
      <c r="D3" s="873"/>
      <c r="E3" s="874"/>
      <c r="F3" s="874"/>
      <c r="G3" s="874"/>
      <c r="H3" s="874"/>
      <c r="I3" s="874"/>
      <c r="J3" s="874"/>
      <c r="K3" s="874"/>
      <c r="L3" s="874"/>
      <c r="M3" s="874"/>
      <c r="N3" s="875"/>
      <c r="P3" s="873"/>
      <c r="Q3" s="874"/>
      <c r="R3" s="874"/>
      <c r="S3" s="874"/>
      <c r="T3" s="874"/>
      <c r="U3" s="874"/>
      <c r="V3" s="874"/>
      <c r="W3" s="874"/>
      <c r="X3" s="874"/>
      <c r="Y3" s="874"/>
      <c r="Z3" s="875"/>
      <c r="AB3" s="873"/>
      <c r="AC3" s="874"/>
      <c r="AD3" s="874"/>
      <c r="AE3" s="874"/>
      <c r="AF3" s="874"/>
      <c r="AG3" s="874"/>
      <c r="AH3" s="874"/>
      <c r="AI3" s="874"/>
      <c r="AJ3" s="874"/>
      <c r="AK3" s="874"/>
      <c r="AL3" s="875"/>
      <c r="AN3" s="873"/>
      <c r="AO3" s="874"/>
      <c r="AP3" s="874"/>
      <c r="AQ3" s="874"/>
      <c r="AR3" s="874"/>
      <c r="AS3" s="874"/>
      <c r="AT3" s="874"/>
      <c r="AU3" s="874"/>
      <c r="AV3" s="874"/>
      <c r="AW3" s="874"/>
      <c r="AX3" s="875"/>
      <c r="AZ3" s="873"/>
      <c r="BA3" s="874"/>
      <c r="BB3" s="874"/>
      <c r="BC3" s="874"/>
      <c r="BD3" s="874"/>
      <c r="BE3" s="874"/>
      <c r="BF3" s="874"/>
      <c r="BG3" s="874"/>
      <c r="BH3" s="874"/>
      <c r="BI3" s="874"/>
      <c r="BJ3" s="875"/>
      <c r="BL3" s="873"/>
      <c r="BM3" s="874"/>
      <c r="BN3" s="874"/>
      <c r="BO3" s="874"/>
      <c r="BP3" s="874"/>
      <c r="BQ3" s="874"/>
      <c r="BR3" s="874"/>
      <c r="BS3" s="874"/>
      <c r="BT3" s="874"/>
      <c r="BU3" s="874"/>
      <c r="BV3" s="875"/>
    </row>
    <row r="4" spans="2:74" ht="10" customHeight="1" thickTop="1" thickBot="1" x14ac:dyDescent="0.2">
      <c r="C4" s="210"/>
    </row>
    <row r="5" spans="2:74" ht="17" thickTop="1" x14ac:dyDescent="0.2">
      <c r="B5" s="883">
        <v>1</v>
      </c>
      <c r="C5" s="895"/>
      <c r="D5" s="847" t="s">
        <v>42</v>
      </c>
      <c r="E5" s="333"/>
      <c r="F5" s="333"/>
      <c r="G5" s="333"/>
      <c r="H5" s="333"/>
      <c r="I5" s="333"/>
      <c r="J5" s="333"/>
      <c r="K5" s="333"/>
      <c r="L5" s="333"/>
      <c r="M5" s="333"/>
      <c r="N5" s="850" t="s">
        <v>43</v>
      </c>
      <c r="O5" s="879"/>
      <c r="P5" s="847" t="s">
        <v>42</v>
      </c>
      <c r="Q5" s="333"/>
      <c r="R5" s="333"/>
      <c r="S5" s="333"/>
      <c r="T5" s="333"/>
      <c r="U5" s="333"/>
      <c r="V5" s="333"/>
      <c r="W5" s="333"/>
      <c r="X5" s="333"/>
      <c r="Y5" s="333"/>
      <c r="Z5" s="850" t="s">
        <v>43</v>
      </c>
      <c r="AA5" s="879"/>
      <c r="AB5" s="847" t="s">
        <v>42</v>
      </c>
      <c r="AC5" s="333"/>
      <c r="AD5" s="333"/>
      <c r="AE5" s="333"/>
      <c r="AF5" s="333"/>
      <c r="AG5" s="333"/>
      <c r="AH5" s="333"/>
      <c r="AI5" s="333"/>
      <c r="AJ5" s="333"/>
      <c r="AK5" s="333"/>
      <c r="AL5" s="850" t="s">
        <v>43</v>
      </c>
      <c r="AM5" s="879"/>
      <c r="AN5" s="847" t="s">
        <v>42</v>
      </c>
      <c r="AO5" s="333"/>
      <c r="AP5" s="333"/>
      <c r="AQ5" s="333"/>
      <c r="AR5" s="333"/>
      <c r="AS5" s="333"/>
      <c r="AT5" s="333"/>
      <c r="AU5" s="333"/>
      <c r="AV5" s="333"/>
      <c r="AW5" s="333"/>
      <c r="AX5" s="850" t="s">
        <v>43</v>
      </c>
      <c r="AZ5" s="847" t="s">
        <v>42</v>
      </c>
      <c r="BA5" s="333"/>
      <c r="BB5" s="333"/>
      <c r="BC5" s="333"/>
      <c r="BD5" s="333"/>
      <c r="BE5" s="333"/>
      <c r="BF5" s="333"/>
      <c r="BG5" s="333"/>
      <c r="BH5" s="333"/>
      <c r="BI5" s="333"/>
      <c r="BJ5" s="850" t="s">
        <v>43</v>
      </c>
      <c r="BL5" s="847" t="s">
        <v>42</v>
      </c>
      <c r="BM5" s="333"/>
      <c r="BN5" s="333"/>
      <c r="BO5" s="333"/>
      <c r="BP5" s="333"/>
      <c r="BQ5" s="333"/>
      <c r="BR5" s="333"/>
      <c r="BS5" s="333"/>
      <c r="BT5" s="333"/>
      <c r="BU5" s="333"/>
      <c r="BV5" s="850" t="s">
        <v>43</v>
      </c>
    </row>
    <row r="6" spans="2:74" ht="16" x14ac:dyDescent="0.2">
      <c r="B6" s="884"/>
      <c r="C6" s="895"/>
      <c r="D6" s="848"/>
      <c r="E6" s="334"/>
      <c r="F6" s="334"/>
      <c r="G6" s="334"/>
      <c r="H6" s="334"/>
      <c r="I6" s="334"/>
      <c r="J6" s="334"/>
      <c r="K6" s="334"/>
      <c r="L6" s="334"/>
      <c r="M6" s="334"/>
      <c r="N6" s="851"/>
      <c r="O6" s="879"/>
      <c r="P6" s="848"/>
      <c r="Q6" s="334"/>
      <c r="R6" s="334"/>
      <c r="S6" s="334"/>
      <c r="T6" s="334"/>
      <c r="U6" s="334"/>
      <c r="V6" s="334"/>
      <c r="W6" s="334"/>
      <c r="X6" s="334"/>
      <c r="Y6" s="334"/>
      <c r="Z6" s="851"/>
      <c r="AA6" s="879"/>
      <c r="AB6" s="848"/>
      <c r="AC6" s="334"/>
      <c r="AD6" s="334"/>
      <c r="AE6" s="334"/>
      <c r="AF6" s="334"/>
      <c r="AG6" s="334"/>
      <c r="AH6" s="334"/>
      <c r="AI6" s="334"/>
      <c r="AJ6" s="334"/>
      <c r="AK6" s="334"/>
      <c r="AL6" s="851"/>
      <c r="AM6" s="879"/>
      <c r="AN6" s="848"/>
      <c r="AO6" s="334"/>
      <c r="AP6" s="334"/>
      <c r="AQ6" s="334"/>
      <c r="AR6" s="334"/>
      <c r="AS6" s="334"/>
      <c r="AT6" s="334"/>
      <c r="AU6" s="334"/>
      <c r="AV6" s="334"/>
      <c r="AW6" s="334"/>
      <c r="AX6" s="851"/>
      <c r="AZ6" s="848"/>
      <c r="BA6" s="334"/>
      <c r="BB6" s="334"/>
      <c r="BC6" s="334"/>
      <c r="BD6" s="334"/>
      <c r="BE6" s="334"/>
      <c r="BF6" s="334"/>
      <c r="BG6" s="334"/>
      <c r="BH6" s="334"/>
      <c r="BI6" s="334"/>
      <c r="BJ6" s="851"/>
      <c r="BL6" s="848"/>
      <c r="BM6" s="334"/>
      <c r="BN6" s="334"/>
      <c r="BO6" s="334"/>
      <c r="BP6" s="334"/>
      <c r="BQ6" s="334"/>
      <c r="BR6" s="334"/>
      <c r="BS6" s="334"/>
      <c r="BT6" s="334"/>
      <c r="BU6" s="334"/>
      <c r="BV6" s="851"/>
    </row>
    <row r="7" spans="2:74" ht="21" x14ac:dyDescent="0.25">
      <c r="B7" s="884"/>
      <c r="C7" s="895"/>
      <c r="D7" s="848"/>
      <c r="E7" s="335" t="s">
        <v>166</v>
      </c>
      <c r="F7" s="335" t="s">
        <v>44</v>
      </c>
      <c r="G7" s="335" t="s">
        <v>168</v>
      </c>
      <c r="H7" s="335" t="s">
        <v>45</v>
      </c>
      <c r="I7" s="335" t="s">
        <v>46</v>
      </c>
      <c r="J7" s="335" t="s">
        <v>47</v>
      </c>
      <c r="K7" s="335" t="s">
        <v>45</v>
      </c>
      <c r="L7" s="335" t="s">
        <v>48</v>
      </c>
      <c r="M7" s="335" t="s">
        <v>49</v>
      </c>
      <c r="N7" s="851"/>
      <c r="O7" s="879"/>
      <c r="P7" s="848"/>
      <c r="Q7" s="335" t="str">
        <f>E7</f>
        <v>Demande mensuelle</v>
      </c>
      <c r="R7" s="335" t="s">
        <v>44</v>
      </c>
      <c r="S7" s="335" t="str">
        <f>G7</f>
        <v>Achalandage mensuel</v>
      </c>
      <c r="T7" s="335" t="s">
        <v>45</v>
      </c>
      <c r="U7" s="335" t="s">
        <v>46</v>
      </c>
      <c r="V7" s="335" t="str">
        <f>J7</f>
        <v>Um/A</v>
      </c>
      <c r="W7" s="335" t="s">
        <v>45</v>
      </c>
      <c r="X7" s="335" t="str">
        <f>L7</f>
        <v>PmO</v>
      </c>
      <c r="Y7" s="335" t="s">
        <v>49</v>
      </c>
      <c r="Z7" s="851"/>
      <c r="AA7" s="879"/>
      <c r="AB7" s="848"/>
      <c r="AC7" s="335" t="str">
        <f>E7</f>
        <v>Demande mensuelle</v>
      </c>
      <c r="AD7" s="335" t="s">
        <v>44</v>
      </c>
      <c r="AE7" s="335" t="str">
        <f>G7</f>
        <v>Achalandage mensuel</v>
      </c>
      <c r="AF7" s="335" t="s">
        <v>45</v>
      </c>
      <c r="AG7" s="335" t="s">
        <v>46</v>
      </c>
      <c r="AH7" s="335" t="str">
        <f>J7</f>
        <v>Um/A</v>
      </c>
      <c r="AI7" s="335" t="s">
        <v>45</v>
      </c>
      <c r="AJ7" s="335" t="str">
        <f>L7</f>
        <v>PmO</v>
      </c>
      <c r="AK7" s="335" t="s">
        <v>49</v>
      </c>
      <c r="AL7" s="851"/>
      <c r="AM7" s="879"/>
      <c r="AN7" s="848"/>
      <c r="AO7" s="335" t="str">
        <f>E7</f>
        <v>Demande mensuelle</v>
      </c>
      <c r="AP7" s="335" t="s">
        <v>44</v>
      </c>
      <c r="AQ7" s="335" t="str">
        <f>G7</f>
        <v>Achalandage mensuel</v>
      </c>
      <c r="AR7" s="335" t="s">
        <v>45</v>
      </c>
      <c r="AS7" s="335" t="s">
        <v>46</v>
      </c>
      <c r="AT7" s="335" t="str">
        <f>J7</f>
        <v>Um/A</v>
      </c>
      <c r="AU7" s="335" t="s">
        <v>45</v>
      </c>
      <c r="AV7" s="335" t="str">
        <f>L7</f>
        <v>PmO</v>
      </c>
      <c r="AW7" s="335" t="s">
        <v>49</v>
      </c>
      <c r="AX7" s="851"/>
      <c r="AZ7" s="848"/>
      <c r="BA7" s="335" t="s">
        <v>244</v>
      </c>
      <c r="BB7" s="335" t="s">
        <v>44</v>
      </c>
      <c r="BC7" s="335" t="str">
        <f>G7</f>
        <v>Achalandage mensuel</v>
      </c>
      <c r="BD7" s="335" t="s">
        <v>45</v>
      </c>
      <c r="BE7" s="335" t="s">
        <v>46</v>
      </c>
      <c r="BF7" s="335" t="str">
        <f>J7</f>
        <v>Um/A</v>
      </c>
      <c r="BG7" s="335" t="s">
        <v>45</v>
      </c>
      <c r="BH7" s="335" t="s">
        <v>235</v>
      </c>
      <c r="BI7" s="335" t="s">
        <v>49</v>
      </c>
      <c r="BJ7" s="851"/>
      <c r="BL7" s="848"/>
      <c r="BM7" s="335" t="s">
        <v>245</v>
      </c>
      <c r="BN7" s="335" t="s">
        <v>44</v>
      </c>
      <c r="BO7" s="335" t="str">
        <f>S7</f>
        <v>Achalandage mensuel</v>
      </c>
      <c r="BP7" s="335" t="s">
        <v>45</v>
      </c>
      <c r="BQ7" s="335" t="s">
        <v>46</v>
      </c>
      <c r="BR7" s="335" t="str">
        <f>V7</f>
        <v>Um/A</v>
      </c>
      <c r="BS7" s="335" t="s">
        <v>45</v>
      </c>
      <c r="BT7" s="335" t="s">
        <v>239</v>
      </c>
      <c r="BU7" s="335" t="s">
        <v>49</v>
      </c>
      <c r="BV7" s="851"/>
    </row>
    <row r="8" spans="2:74" ht="19" x14ac:dyDescent="0.25">
      <c r="B8" s="884"/>
      <c r="C8" s="895"/>
      <c r="D8" s="848"/>
      <c r="E8" s="336" t="s">
        <v>2</v>
      </c>
      <c r="F8" s="337"/>
      <c r="G8" s="336"/>
      <c r="H8" s="337"/>
      <c r="I8" s="337"/>
      <c r="J8" s="337"/>
      <c r="K8" s="337"/>
      <c r="L8" s="337"/>
      <c r="M8" s="337"/>
      <c r="N8" s="851"/>
      <c r="O8" s="879"/>
      <c r="P8" s="848"/>
      <c r="Q8" s="336" t="s">
        <v>2</v>
      </c>
      <c r="R8" s="337"/>
      <c r="S8" s="336"/>
      <c r="T8" s="337"/>
      <c r="U8" s="337"/>
      <c r="V8" s="337"/>
      <c r="W8" s="337"/>
      <c r="X8" s="337"/>
      <c r="Y8" s="337"/>
      <c r="Z8" s="851"/>
      <c r="AA8" s="879"/>
      <c r="AB8" s="848"/>
      <c r="AC8" s="336" t="s">
        <v>2</v>
      </c>
      <c r="AD8" s="337"/>
      <c r="AE8" s="336"/>
      <c r="AF8" s="337"/>
      <c r="AG8" s="337"/>
      <c r="AH8" s="337"/>
      <c r="AI8" s="337"/>
      <c r="AJ8" s="337"/>
      <c r="AK8" s="337"/>
      <c r="AL8" s="851"/>
      <c r="AM8" s="879"/>
      <c r="AN8" s="848"/>
      <c r="AO8" s="336" t="s">
        <v>2</v>
      </c>
      <c r="AP8" s="337"/>
      <c r="AQ8" s="336"/>
      <c r="AR8" s="337"/>
      <c r="AS8" s="337"/>
      <c r="AT8" s="337"/>
      <c r="AU8" s="337"/>
      <c r="AV8" s="337"/>
      <c r="AW8" s="337"/>
      <c r="AX8" s="851"/>
      <c r="AZ8" s="848"/>
      <c r="BA8" s="336" t="s">
        <v>2</v>
      </c>
      <c r="BB8" s="337"/>
      <c r="BC8" s="336"/>
      <c r="BD8" s="337"/>
      <c r="BE8" s="337"/>
      <c r="BF8" s="337"/>
      <c r="BG8" s="337"/>
      <c r="BH8" s="337"/>
      <c r="BI8" s="337"/>
      <c r="BJ8" s="851"/>
      <c r="BL8" s="848"/>
      <c r="BM8" s="336" t="s">
        <v>2</v>
      </c>
      <c r="BN8" s="337"/>
      <c r="BO8" s="336"/>
      <c r="BP8" s="337"/>
      <c r="BQ8" s="337"/>
      <c r="BR8" s="337"/>
      <c r="BS8" s="337"/>
      <c r="BT8" s="337"/>
      <c r="BU8" s="337"/>
      <c r="BV8" s="851"/>
    </row>
    <row r="9" spans="2:74" ht="26" x14ac:dyDescent="0.3">
      <c r="B9" s="884"/>
      <c r="C9" s="895"/>
      <c r="D9" s="848"/>
      <c r="E9" s="338" t="s">
        <v>133</v>
      </c>
      <c r="F9" s="339"/>
      <c r="G9" s="338" t="s">
        <v>50</v>
      </c>
      <c r="H9" s="339"/>
      <c r="I9" s="339"/>
      <c r="J9" s="338" t="str">
        <f>+J7</f>
        <v>Um/A</v>
      </c>
      <c r="K9" s="339"/>
      <c r="L9" s="338" t="str">
        <f>+L7</f>
        <v>PmO</v>
      </c>
      <c r="M9" s="339"/>
      <c r="N9" s="851"/>
      <c r="O9" s="879"/>
      <c r="P9" s="848"/>
      <c r="Q9" s="338" t="str">
        <f>E9</f>
        <v>D</v>
      </c>
      <c r="R9" s="339"/>
      <c r="S9" s="338" t="str">
        <f>G9</f>
        <v>A</v>
      </c>
      <c r="T9" s="339"/>
      <c r="U9" s="339"/>
      <c r="V9" s="338" t="str">
        <f>+V7</f>
        <v>Um/A</v>
      </c>
      <c r="W9" s="339"/>
      <c r="X9" s="338" t="str">
        <f>+X7</f>
        <v>PmO</v>
      </c>
      <c r="Y9" s="339"/>
      <c r="Z9" s="851"/>
      <c r="AA9" s="879"/>
      <c r="AB9" s="848"/>
      <c r="AC9" s="338" t="str">
        <f>E9</f>
        <v>D</v>
      </c>
      <c r="AD9" s="339"/>
      <c r="AE9" s="338" t="str">
        <f>G9</f>
        <v>A</v>
      </c>
      <c r="AF9" s="339"/>
      <c r="AG9" s="339"/>
      <c r="AH9" s="338" t="str">
        <f>+AH7</f>
        <v>Um/A</v>
      </c>
      <c r="AI9" s="339"/>
      <c r="AJ9" s="338" t="str">
        <f>+AJ7</f>
        <v>PmO</v>
      </c>
      <c r="AK9" s="339"/>
      <c r="AL9" s="851"/>
      <c r="AM9" s="879"/>
      <c r="AN9" s="848"/>
      <c r="AO9" s="338" t="str">
        <f>E9</f>
        <v>D</v>
      </c>
      <c r="AP9" s="339"/>
      <c r="AQ9" s="338" t="str">
        <f>G9</f>
        <v>A</v>
      </c>
      <c r="AR9" s="339"/>
      <c r="AS9" s="339"/>
      <c r="AT9" s="338" t="str">
        <f>+AT7</f>
        <v>Um/A</v>
      </c>
      <c r="AU9" s="339"/>
      <c r="AV9" s="338" t="str">
        <f>+AV7</f>
        <v>PmO</v>
      </c>
      <c r="AW9" s="339"/>
      <c r="AX9" s="851"/>
      <c r="AZ9" s="848"/>
      <c r="BA9" s="338" t="s">
        <v>236</v>
      </c>
      <c r="BB9" s="339"/>
      <c r="BC9" s="338" t="str">
        <f>G9</f>
        <v>A</v>
      </c>
      <c r="BD9" s="339"/>
      <c r="BE9" s="339"/>
      <c r="BF9" s="338" t="str">
        <f>BF7</f>
        <v>Um/A</v>
      </c>
      <c r="BG9" s="339"/>
      <c r="BH9" s="338" t="str">
        <f>BH7</f>
        <v>CmO</v>
      </c>
      <c r="BI9" s="339"/>
      <c r="BJ9" s="851"/>
      <c r="BL9" s="848"/>
      <c r="BM9" s="338" t="s">
        <v>237</v>
      </c>
      <c r="BN9" s="339"/>
      <c r="BO9" s="338" t="str">
        <f>S9</f>
        <v>A</v>
      </c>
      <c r="BP9" s="339"/>
      <c r="BQ9" s="339"/>
      <c r="BR9" s="338" t="str">
        <f>BR7</f>
        <v>Um/A</v>
      </c>
      <c r="BS9" s="339"/>
      <c r="BT9" s="338" t="str">
        <f>BT7</f>
        <v>BmO</v>
      </c>
      <c r="BU9" s="339"/>
      <c r="BV9" s="851"/>
    </row>
    <row r="10" spans="2:74" ht="21" x14ac:dyDescent="0.25">
      <c r="B10" s="884"/>
      <c r="C10" s="895"/>
      <c r="D10" s="848"/>
      <c r="E10" s="340">
        <f>+Q10+AC10+AO10</f>
        <v>38305.15</v>
      </c>
      <c r="F10" s="335" t="s">
        <v>44</v>
      </c>
      <c r="G10" s="341">
        <f>'% Occupation'!D19</f>
        <v>1550</v>
      </c>
      <c r="H10" s="335" t="s">
        <v>45</v>
      </c>
      <c r="I10" s="335" t="s">
        <v>46</v>
      </c>
      <c r="J10" s="342">
        <f>+V10+AH10+AT10</f>
        <v>2.2200000000000002</v>
      </c>
      <c r="K10" s="335" t="s">
        <v>45</v>
      </c>
      <c r="L10" s="343">
        <f>E10/G10/J10</f>
        <v>11.131981981981982</v>
      </c>
      <c r="M10" s="335" t="s">
        <v>49</v>
      </c>
      <c r="N10" s="851"/>
      <c r="O10" s="879"/>
      <c r="P10" s="848"/>
      <c r="Q10" s="340">
        <f>+S10*(V10*X10)</f>
        <v>27435.000000000004</v>
      </c>
      <c r="R10" s="335" t="s">
        <v>44</v>
      </c>
      <c r="S10" s="341">
        <f>G10</f>
        <v>1550</v>
      </c>
      <c r="T10" s="335" t="s">
        <v>45</v>
      </c>
      <c r="U10" s="335" t="s">
        <v>46</v>
      </c>
      <c r="V10" s="378">
        <v>1.5</v>
      </c>
      <c r="W10" s="335" t="s">
        <v>45</v>
      </c>
      <c r="X10" s="379">
        <v>11.8</v>
      </c>
      <c r="Y10" s="335" t="s">
        <v>49</v>
      </c>
      <c r="Z10" s="851"/>
      <c r="AA10" s="879"/>
      <c r="AB10" s="848"/>
      <c r="AC10" s="340">
        <f>+AE10*(AH10*AJ10)</f>
        <v>9949.4499999999989</v>
      </c>
      <c r="AD10" s="335" t="s">
        <v>44</v>
      </c>
      <c r="AE10" s="341">
        <f>S10</f>
        <v>1550</v>
      </c>
      <c r="AF10" s="335" t="s">
        <v>45</v>
      </c>
      <c r="AG10" s="335" t="s">
        <v>46</v>
      </c>
      <c r="AH10" s="378">
        <v>0.7</v>
      </c>
      <c r="AI10" s="335" t="s">
        <v>45</v>
      </c>
      <c r="AJ10" s="379">
        <v>9.17</v>
      </c>
      <c r="AK10" s="335" t="s">
        <v>49</v>
      </c>
      <c r="AL10" s="851"/>
      <c r="AM10" s="879"/>
      <c r="AN10" s="848"/>
      <c r="AO10" s="340">
        <f>+AQ10*(AT10*AV10)</f>
        <v>920.69999999999993</v>
      </c>
      <c r="AP10" s="335" t="s">
        <v>44</v>
      </c>
      <c r="AQ10" s="341">
        <f>AE10</f>
        <v>1550</v>
      </c>
      <c r="AR10" s="335" t="s">
        <v>45</v>
      </c>
      <c r="AS10" s="335" t="s">
        <v>46</v>
      </c>
      <c r="AT10" s="378">
        <v>0.02</v>
      </c>
      <c r="AU10" s="335" t="s">
        <v>45</v>
      </c>
      <c r="AV10" s="379">
        <v>29.7</v>
      </c>
      <c r="AW10" s="335" t="s">
        <v>49</v>
      </c>
      <c r="AX10" s="851"/>
      <c r="AZ10" s="848"/>
      <c r="BA10" s="340">
        <f>'État des Résultats'!E14-'État des Résultats'!E45</f>
        <v>34458.086351358252</v>
      </c>
      <c r="BB10" s="335" t="s">
        <v>44</v>
      </c>
      <c r="BC10" s="341">
        <f>G10</f>
        <v>1550</v>
      </c>
      <c r="BD10" s="335" t="s">
        <v>45</v>
      </c>
      <c r="BE10" s="335" t="s">
        <v>46</v>
      </c>
      <c r="BF10" s="342">
        <f>J10</f>
        <v>2.2200000000000002</v>
      </c>
      <c r="BG10" s="335" t="s">
        <v>45</v>
      </c>
      <c r="BH10" s="343">
        <f>BA10/BC10/BF10</f>
        <v>10.013974528148283</v>
      </c>
      <c r="BI10" s="335" t="s">
        <v>49</v>
      </c>
      <c r="BJ10" s="851"/>
      <c r="BL10" s="848"/>
      <c r="BM10" s="340">
        <f>'État des Résultats'!E45</f>
        <v>3847.0636486417516</v>
      </c>
      <c r="BN10" s="335" t="s">
        <v>44</v>
      </c>
      <c r="BO10" s="341">
        <f>S10</f>
        <v>1550</v>
      </c>
      <c r="BP10" s="335" t="s">
        <v>45</v>
      </c>
      <c r="BQ10" s="335" t="s">
        <v>46</v>
      </c>
      <c r="BR10" s="342">
        <f>J10</f>
        <v>2.2200000000000002</v>
      </c>
      <c r="BS10" s="335" t="s">
        <v>45</v>
      </c>
      <c r="BT10" s="343">
        <f>BM10/BO10/BR10</f>
        <v>1.1180074538336968</v>
      </c>
      <c r="BU10" s="335" t="s">
        <v>49</v>
      </c>
      <c r="BV10" s="851"/>
    </row>
    <row r="11" spans="2:74" ht="17" thickBot="1" x14ac:dyDescent="0.25">
      <c r="B11" s="884"/>
      <c r="C11" s="895"/>
      <c r="D11" s="849"/>
      <c r="E11" s="344"/>
      <c r="F11" s="344"/>
      <c r="G11" s="344"/>
      <c r="H11" s="344"/>
      <c r="I11" s="344"/>
      <c r="J11" s="344"/>
      <c r="K11" s="344"/>
      <c r="L11" s="344"/>
      <c r="M11" s="344"/>
      <c r="N11" s="852"/>
      <c r="O11" s="879"/>
      <c r="P11" s="849"/>
      <c r="Q11" s="344"/>
      <c r="R11" s="344"/>
      <c r="S11" s="344"/>
      <c r="T11" s="344"/>
      <c r="U11" s="344"/>
      <c r="V11" s="344"/>
      <c r="W11" s="344"/>
      <c r="X11" s="344"/>
      <c r="Y11" s="344"/>
      <c r="Z11" s="852"/>
      <c r="AA11" s="879"/>
      <c r="AB11" s="849"/>
      <c r="AC11" s="344"/>
      <c r="AD11" s="344"/>
      <c r="AE11" s="344"/>
      <c r="AF11" s="344"/>
      <c r="AG11" s="344"/>
      <c r="AH11" s="344"/>
      <c r="AI11" s="344"/>
      <c r="AJ11" s="344"/>
      <c r="AK11" s="344"/>
      <c r="AL11" s="852"/>
      <c r="AM11" s="879"/>
      <c r="AN11" s="849"/>
      <c r="AO11" s="344"/>
      <c r="AP11" s="344"/>
      <c r="AQ11" s="344"/>
      <c r="AR11" s="344"/>
      <c r="AS11" s="344"/>
      <c r="AT11" s="344"/>
      <c r="AU11" s="344"/>
      <c r="AV11" s="344"/>
      <c r="AW11" s="344"/>
      <c r="AX11" s="852"/>
      <c r="AZ11" s="849"/>
      <c r="BA11" s="344"/>
      <c r="BB11" s="344"/>
      <c r="BC11" s="344"/>
      <c r="BD11" s="344"/>
      <c r="BE11" s="344"/>
      <c r="BF11" s="344"/>
      <c r="BG11" s="344"/>
      <c r="BH11" s="344"/>
      <c r="BI11" s="344"/>
      <c r="BJ11" s="852"/>
      <c r="BL11" s="849"/>
      <c r="BM11" s="344"/>
      <c r="BN11" s="344"/>
      <c r="BO11" s="344"/>
      <c r="BP11" s="344"/>
      <c r="BQ11" s="344"/>
      <c r="BR11" s="344"/>
      <c r="BS11" s="344"/>
      <c r="BT11" s="344"/>
      <c r="BU11" s="344"/>
      <c r="BV11" s="852"/>
    </row>
    <row r="12" spans="2:74" ht="5" customHeight="1" thickTop="1" thickBot="1" x14ac:dyDescent="0.2">
      <c r="B12" s="884"/>
      <c r="C12" s="210"/>
    </row>
    <row r="13" spans="2:74" ht="16" customHeight="1" thickTop="1" x14ac:dyDescent="0.2">
      <c r="B13" s="884"/>
      <c r="C13" s="895"/>
      <c r="D13" s="847" t="s">
        <v>42</v>
      </c>
      <c r="E13" s="333"/>
      <c r="F13" s="333"/>
      <c r="G13" s="333"/>
      <c r="H13" s="333"/>
      <c r="I13" s="333"/>
      <c r="J13" s="333"/>
      <c r="K13" s="333"/>
      <c r="L13" s="333"/>
      <c r="M13" s="333"/>
      <c r="N13" s="850" t="s">
        <v>43</v>
      </c>
      <c r="P13" s="847" t="s">
        <v>42</v>
      </c>
      <c r="Q13" s="333"/>
      <c r="R13" s="333"/>
      <c r="S13" s="333"/>
      <c r="T13" s="333"/>
      <c r="U13" s="333"/>
      <c r="V13" s="333"/>
      <c r="W13" s="333"/>
      <c r="X13" s="333"/>
      <c r="Y13" s="333"/>
      <c r="Z13" s="850" t="s">
        <v>43</v>
      </c>
      <c r="AB13" s="847" t="s">
        <v>42</v>
      </c>
      <c r="AC13" s="333"/>
      <c r="AD13" s="333"/>
      <c r="AE13" s="333"/>
      <c r="AF13" s="333"/>
      <c r="AG13" s="333"/>
      <c r="AH13" s="333"/>
      <c r="AI13" s="333"/>
      <c r="AJ13" s="333"/>
      <c r="AK13" s="333"/>
      <c r="AL13" s="850" t="s">
        <v>43</v>
      </c>
      <c r="AN13" s="847" t="s">
        <v>42</v>
      </c>
      <c r="AO13" s="333"/>
      <c r="AP13" s="333"/>
      <c r="AQ13" s="333"/>
      <c r="AR13" s="333"/>
      <c r="AS13" s="333"/>
      <c r="AT13" s="333"/>
      <c r="AU13" s="333"/>
      <c r="AV13" s="333"/>
      <c r="AW13" s="333"/>
      <c r="AX13" s="850" t="s">
        <v>43</v>
      </c>
      <c r="AZ13" s="847" t="s">
        <v>42</v>
      </c>
      <c r="BA13" s="333"/>
      <c r="BB13" s="333"/>
      <c r="BC13" s="333"/>
      <c r="BD13" s="333"/>
      <c r="BE13" s="333"/>
      <c r="BF13" s="333"/>
      <c r="BG13" s="333"/>
      <c r="BH13" s="333"/>
      <c r="BI13" s="333"/>
      <c r="BJ13" s="850" t="s">
        <v>43</v>
      </c>
      <c r="BL13" s="847" t="s">
        <v>42</v>
      </c>
      <c r="BM13" s="333"/>
      <c r="BN13" s="333"/>
      <c r="BO13" s="333"/>
      <c r="BP13" s="333"/>
      <c r="BQ13" s="333"/>
      <c r="BR13" s="333"/>
      <c r="BS13" s="333"/>
      <c r="BT13" s="333"/>
      <c r="BU13" s="333"/>
      <c r="BV13" s="850" t="s">
        <v>43</v>
      </c>
    </row>
    <row r="14" spans="2:74" ht="16" x14ac:dyDescent="0.2">
      <c r="B14" s="884"/>
      <c r="C14" s="895"/>
      <c r="D14" s="848"/>
      <c r="E14" s="334"/>
      <c r="F14" s="334"/>
      <c r="G14" s="334"/>
      <c r="H14" s="334"/>
      <c r="I14" s="334"/>
      <c r="J14" s="334"/>
      <c r="K14" s="334"/>
      <c r="L14" s="334"/>
      <c r="M14" s="334"/>
      <c r="N14" s="851"/>
      <c r="P14" s="848"/>
      <c r="Q14" s="334"/>
      <c r="R14" s="334"/>
      <c r="S14" s="334"/>
      <c r="T14" s="334"/>
      <c r="U14" s="334"/>
      <c r="V14" s="334"/>
      <c r="W14" s="334"/>
      <c r="X14" s="334"/>
      <c r="Y14" s="334"/>
      <c r="Z14" s="851"/>
      <c r="AB14" s="848"/>
      <c r="AC14" s="334"/>
      <c r="AD14" s="334"/>
      <c r="AE14" s="334"/>
      <c r="AF14" s="334"/>
      <c r="AG14" s="334"/>
      <c r="AH14" s="334"/>
      <c r="AI14" s="334"/>
      <c r="AJ14" s="334"/>
      <c r="AK14" s="334"/>
      <c r="AL14" s="851"/>
      <c r="AN14" s="848"/>
      <c r="AO14" s="334"/>
      <c r="AP14" s="334"/>
      <c r="AQ14" s="334"/>
      <c r="AR14" s="334"/>
      <c r="AS14" s="334"/>
      <c r="AT14" s="334"/>
      <c r="AU14" s="334"/>
      <c r="AV14" s="334"/>
      <c r="AW14" s="334"/>
      <c r="AX14" s="851"/>
      <c r="AZ14" s="848"/>
      <c r="BA14" s="334"/>
      <c r="BB14" s="334"/>
      <c r="BC14" s="334"/>
      <c r="BD14" s="334"/>
      <c r="BE14" s="334"/>
      <c r="BF14" s="334"/>
      <c r="BG14" s="334"/>
      <c r="BH14" s="334"/>
      <c r="BI14" s="334"/>
      <c r="BJ14" s="851"/>
      <c r="BL14" s="848"/>
      <c r="BM14" s="334"/>
      <c r="BN14" s="334"/>
      <c r="BO14" s="334"/>
      <c r="BP14" s="334"/>
      <c r="BQ14" s="334"/>
      <c r="BR14" s="334"/>
      <c r="BS14" s="334"/>
      <c r="BT14" s="334"/>
      <c r="BU14" s="334"/>
      <c r="BV14" s="851"/>
    </row>
    <row r="15" spans="2:74" ht="21" customHeight="1" x14ac:dyDescent="0.25">
      <c r="B15" s="884"/>
      <c r="C15" s="895"/>
      <c r="D15" s="848"/>
      <c r="E15" s="335" t="str">
        <f>+E7</f>
        <v>Demande mensuelle</v>
      </c>
      <c r="F15" s="335" t="s">
        <v>44</v>
      </c>
      <c r="G15" s="335" t="str">
        <f>+G7</f>
        <v>Achalandage mensuel</v>
      </c>
      <c r="H15" s="335" t="s">
        <v>45</v>
      </c>
      <c r="I15" s="335" t="s">
        <v>46</v>
      </c>
      <c r="J15" s="335" t="str">
        <f>J7</f>
        <v>Um/A</v>
      </c>
      <c r="K15" s="335" t="s">
        <v>45</v>
      </c>
      <c r="L15" s="335" t="str">
        <f>L7</f>
        <v>PmO</v>
      </c>
      <c r="M15" s="335" t="s">
        <v>49</v>
      </c>
      <c r="N15" s="851"/>
      <c r="P15" s="848"/>
      <c r="Q15" s="335" t="str">
        <f>+Q7</f>
        <v>Demande mensuelle</v>
      </c>
      <c r="R15" s="335" t="s">
        <v>44</v>
      </c>
      <c r="S15" s="335" t="str">
        <f>+S7</f>
        <v>Achalandage mensuel</v>
      </c>
      <c r="T15" s="335" t="s">
        <v>45</v>
      </c>
      <c r="U15" s="335" t="s">
        <v>46</v>
      </c>
      <c r="V15" s="335" t="str">
        <f>V7</f>
        <v>Um/A</v>
      </c>
      <c r="W15" s="335" t="s">
        <v>45</v>
      </c>
      <c r="X15" s="335" t="str">
        <f>X7</f>
        <v>PmO</v>
      </c>
      <c r="Y15" s="335" t="s">
        <v>49</v>
      </c>
      <c r="Z15" s="851"/>
      <c r="AB15" s="848"/>
      <c r="AC15" s="335" t="str">
        <f>AC7</f>
        <v>Demande mensuelle</v>
      </c>
      <c r="AD15" s="335" t="s">
        <v>44</v>
      </c>
      <c r="AE15" s="335" t="str">
        <f>AE7</f>
        <v>Achalandage mensuel</v>
      </c>
      <c r="AF15" s="335" t="s">
        <v>45</v>
      </c>
      <c r="AG15" s="335" t="s">
        <v>46</v>
      </c>
      <c r="AH15" s="335" t="str">
        <f>AH7</f>
        <v>Um/A</v>
      </c>
      <c r="AI15" s="335" t="s">
        <v>45</v>
      </c>
      <c r="AJ15" s="335" t="str">
        <f>AJ7</f>
        <v>PmO</v>
      </c>
      <c r="AK15" s="335" t="s">
        <v>49</v>
      </c>
      <c r="AL15" s="851"/>
      <c r="AN15" s="848"/>
      <c r="AO15" s="335" t="str">
        <f>AO7</f>
        <v>Demande mensuelle</v>
      </c>
      <c r="AP15" s="335" t="s">
        <v>44</v>
      </c>
      <c r="AQ15" s="335" t="str">
        <f>AQ7</f>
        <v>Achalandage mensuel</v>
      </c>
      <c r="AR15" s="335" t="s">
        <v>45</v>
      </c>
      <c r="AS15" s="335" t="s">
        <v>46</v>
      </c>
      <c r="AT15" s="335" t="str">
        <f>AT7</f>
        <v>Um/A</v>
      </c>
      <c r="AU15" s="335" t="s">
        <v>45</v>
      </c>
      <c r="AV15" s="335" t="str">
        <f>AV7</f>
        <v>PmO</v>
      </c>
      <c r="AW15" s="335" t="s">
        <v>49</v>
      </c>
      <c r="AX15" s="851"/>
      <c r="AZ15" s="848"/>
      <c r="BA15" s="335" t="str">
        <f>BA7</f>
        <v>Coût mensuel</v>
      </c>
      <c r="BB15" s="335" t="s">
        <v>44</v>
      </c>
      <c r="BC15" s="335" t="str">
        <f>G15</f>
        <v>Achalandage mensuel</v>
      </c>
      <c r="BD15" s="335" t="s">
        <v>45</v>
      </c>
      <c r="BE15" s="335" t="s">
        <v>46</v>
      </c>
      <c r="BF15" s="335" t="str">
        <f>J15</f>
        <v>Um/A</v>
      </c>
      <c r="BG15" s="335" t="s">
        <v>45</v>
      </c>
      <c r="BH15" s="335" t="str">
        <f>BH7</f>
        <v>CmO</v>
      </c>
      <c r="BI15" s="335" t="s">
        <v>49</v>
      </c>
      <c r="BJ15" s="851"/>
      <c r="BL15" s="848"/>
      <c r="BM15" s="335" t="str">
        <f>BM7</f>
        <v>Bénéfice mensuel</v>
      </c>
      <c r="BN15" s="335" t="s">
        <v>44</v>
      </c>
      <c r="BO15" s="335" t="str">
        <f>S15</f>
        <v>Achalandage mensuel</v>
      </c>
      <c r="BP15" s="335" t="s">
        <v>45</v>
      </c>
      <c r="BQ15" s="335" t="s">
        <v>46</v>
      </c>
      <c r="BR15" s="335" t="str">
        <f>V15</f>
        <v>Um/A</v>
      </c>
      <c r="BS15" s="335" t="s">
        <v>45</v>
      </c>
      <c r="BT15" s="335" t="str">
        <f>BT7</f>
        <v>BmO</v>
      </c>
      <c r="BU15" s="335" t="s">
        <v>49</v>
      </c>
      <c r="BV15" s="851"/>
    </row>
    <row r="16" spans="2:74" ht="19" x14ac:dyDescent="0.25">
      <c r="B16" s="884"/>
      <c r="C16" s="895"/>
      <c r="D16" s="848"/>
      <c r="E16" s="336" t="s">
        <v>2</v>
      </c>
      <c r="F16" s="337"/>
      <c r="G16" s="336"/>
      <c r="H16" s="337"/>
      <c r="I16" s="337"/>
      <c r="J16" s="337"/>
      <c r="K16" s="337"/>
      <c r="L16" s="337"/>
      <c r="M16" s="337"/>
      <c r="N16" s="851"/>
      <c r="P16" s="848"/>
      <c r="Q16" s="336" t="s">
        <v>2</v>
      </c>
      <c r="R16" s="337"/>
      <c r="S16" s="336"/>
      <c r="T16" s="337"/>
      <c r="U16" s="337"/>
      <c r="V16" s="337"/>
      <c r="W16" s="337"/>
      <c r="X16" s="337"/>
      <c r="Y16" s="337"/>
      <c r="Z16" s="851"/>
      <c r="AB16" s="848"/>
      <c r="AC16" s="336" t="s">
        <v>2</v>
      </c>
      <c r="AD16" s="337"/>
      <c r="AE16" s="336"/>
      <c r="AF16" s="337"/>
      <c r="AG16" s="337"/>
      <c r="AH16" s="337"/>
      <c r="AI16" s="337"/>
      <c r="AJ16" s="337"/>
      <c r="AK16" s="337"/>
      <c r="AL16" s="851"/>
      <c r="AN16" s="848"/>
      <c r="AO16" s="336" t="s">
        <v>2</v>
      </c>
      <c r="AP16" s="337"/>
      <c r="AQ16" s="336"/>
      <c r="AR16" s="337"/>
      <c r="AS16" s="337"/>
      <c r="AT16" s="337"/>
      <c r="AU16" s="337"/>
      <c r="AV16" s="337"/>
      <c r="AW16" s="337"/>
      <c r="AX16" s="851"/>
      <c r="AZ16" s="848"/>
      <c r="BA16" s="336" t="s">
        <v>2</v>
      </c>
      <c r="BB16" s="337"/>
      <c r="BC16" s="336"/>
      <c r="BD16" s="337"/>
      <c r="BE16" s="337"/>
      <c r="BF16" s="337"/>
      <c r="BG16" s="337"/>
      <c r="BH16" s="337"/>
      <c r="BI16" s="337"/>
      <c r="BJ16" s="851"/>
      <c r="BL16" s="848"/>
      <c r="BM16" s="336" t="s">
        <v>2</v>
      </c>
      <c r="BN16" s="337"/>
      <c r="BO16" s="336"/>
      <c r="BP16" s="337"/>
      <c r="BQ16" s="337"/>
      <c r="BR16" s="337"/>
      <c r="BS16" s="337"/>
      <c r="BT16" s="337"/>
      <c r="BU16" s="337"/>
      <c r="BV16" s="851"/>
    </row>
    <row r="17" spans="2:74" ht="26" customHeight="1" x14ac:dyDescent="0.3">
      <c r="B17" s="884"/>
      <c r="C17" s="895"/>
      <c r="D17" s="848"/>
      <c r="E17" s="338" t="str">
        <f>E9</f>
        <v>D</v>
      </c>
      <c r="F17" s="339"/>
      <c r="G17" s="338" t="str">
        <f>G9</f>
        <v>A</v>
      </c>
      <c r="H17" s="339"/>
      <c r="I17" s="339"/>
      <c r="J17" s="338" t="str">
        <f>+J15</f>
        <v>Um/A</v>
      </c>
      <c r="K17" s="339"/>
      <c r="L17" s="338" t="str">
        <f>+L15</f>
        <v>PmO</v>
      </c>
      <c r="M17" s="339"/>
      <c r="N17" s="851"/>
      <c r="P17" s="848"/>
      <c r="Q17" s="338" t="str">
        <f>Q9</f>
        <v>D</v>
      </c>
      <c r="R17" s="339"/>
      <c r="S17" s="338" t="str">
        <f>S9</f>
        <v>A</v>
      </c>
      <c r="T17" s="339"/>
      <c r="U17" s="339"/>
      <c r="V17" s="338" t="str">
        <f>+V15</f>
        <v>Um/A</v>
      </c>
      <c r="W17" s="339"/>
      <c r="X17" s="338" t="str">
        <f>+X15</f>
        <v>PmO</v>
      </c>
      <c r="Y17" s="339"/>
      <c r="Z17" s="851"/>
      <c r="AB17" s="848"/>
      <c r="AC17" s="338" t="str">
        <f>AC9</f>
        <v>D</v>
      </c>
      <c r="AD17" s="339"/>
      <c r="AE17" s="338" t="str">
        <f>AE9</f>
        <v>A</v>
      </c>
      <c r="AF17" s="339"/>
      <c r="AG17" s="339"/>
      <c r="AH17" s="338" t="str">
        <f>+AH15</f>
        <v>Um/A</v>
      </c>
      <c r="AI17" s="339"/>
      <c r="AJ17" s="338" t="str">
        <f>+AJ15</f>
        <v>PmO</v>
      </c>
      <c r="AK17" s="339"/>
      <c r="AL17" s="851"/>
      <c r="AN17" s="848"/>
      <c r="AO17" s="338" t="str">
        <f>AO9</f>
        <v>D</v>
      </c>
      <c r="AP17" s="339"/>
      <c r="AQ17" s="338" t="str">
        <f>AQ9</f>
        <v>A</v>
      </c>
      <c r="AR17" s="339"/>
      <c r="AS17" s="339"/>
      <c r="AT17" s="338" t="str">
        <f>+AT15</f>
        <v>Um/A</v>
      </c>
      <c r="AU17" s="339"/>
      <c r="AV17" s="338" t="str">
        <f>+AV15</f>
        <v>PmO</v>
      </c>
      <c r="AW17" s="339"/>
      <c r="AX17" s="851"/>
      <c r="AZ17" s="848"/>
      <c r="BA17" s="338" t="str">
        <f>BA9</f>
        <v xml:space="preserve">C </v>
      </c>
      <c r="BB17" s="339"/>
      <c r="BC17" s="338" t="str">
        <f>G17</f>
        <v>A</v>
      </c>
      <c r="BD17" s="339"/>
      <c r="BE17" s="339"/>
      <c r="BF17" s="338" t="str">
        <f>BF15</f>
        <v>Um/A</v>
      </c>
      <c r="BG17" s="339"/>
      <c r="BH17" s="338" t="str">
        <f>BH15</f>
        <v>CmO</v>
      </c>
      <c r="BI17" s="339"/>
      <c r="BJ17" s="851"/>
      <c r="BL17" s="848"/>
      <c r="BM17" s="338" t="str">
        <f>BM9</f>
        <v xml:space="preserve">B </v>
      </c>
      <c r="BN17" s="339"/>
      <c r="BO17" s="338" t="str">
        <f>S17</f>
        <v>A</v>
      </c>
      <c r="BP17" s="339"/>
      <c r="BQ17" s="339"/>
      <c r="BR17" s="338" t="str">
        <f>BR15</f>
        <v>Um/A</v>
      </c>
      <c r="BS17" s="339"/>
      <c r="BT17" s="338" t="str">
        <f>BT15</f>
        <v>BmO</v>
      </c>
      <c r="BU17" s="339"/>
      <c r="BV17" s="851"/>
    </row>
    <row r="18" spans="2:74" ht="21" x14ac:dyDescent="0.25">
      <c r="B18" s="884"/>
      <c r="C18" s="895"/>
      <c r="D18" s="848"/>
      <c r="E18" s="340">
        <f>+Q18+AC18+AO18</f>
        <v>31138.38</v>
      </c>
      <c r="F18" s="335" t="s">
        <v>44</v>
      </c>
      <c r="G18" s="341">
        <f>'% Occupation'!E19</f>
        <v>1260</v>
      </c>
      <c r="H18" s="335" t="s">
        <v>45</v>
      </c>
      <c r="I18" s="335" t="s">
        <v>46</v>
      </c>
      <c r="J18" s="342">
        <f>+V18+AH18+AT18</f>
        <v>2.2200000000000002</v>
      </c>
      <c r="K18" s="335" t="s">
        <v>45</v>
      </c>
      <c r="L18" s="343">
        <f>E18/G18/J18</f>
        <v>11.131981981981982</v>
      </c>
      <c r="M18" s="335" t="s">
        <v>49</v>
      </c>
      <c r="N18" s="851"/>
      <c r="P18" s="848"/>
      <c r="Q18" s="340">
        <f>+S18*(V18*X18)</f>
        <v>22302.000000000004</v>
      </c>
      <c r="R18" s="335" t="s">
        <v>44</v>
      </c>
      <c r="S18" s="341">
        <f>G18</f>
        <v>1260</v>
      </c>
      <c r="T18" s="335" t="s">
        <v>45</v>
      </c>
      <c r="U18" s="335" t="s">
        <v>46</v>
      </c>
      <c r="V18" s="378">
        <v>1.5</v>
      </c>
      <c r="W18" s="335" t="s">
        <v>45</v>
      </c>
      <c r="X18" s="379">
        <v>11.8</v>
      </c>
      <c r="Y18" s="335" t="s">
        <v>49</v>
      </c>
      <c r="Z18" s="851"/>
      <c r="AB18" s="848"/>
      <c r="AC18" s="340">
        <f>+AE18*(AH18*AJ18)</f>
        <v>8087.94</v>
      </c>
      <c r="AD18" s="335" t="s">
        <v>44</v>
      </c>
      <c r="AE18" s="341">
        <f>S18</f>
        <v>1260</v>
      </c>
      <c r="AF18" s="335" t="s">
        <v>45</v>
      </c>
      <c r="AG18" s="335" t="s">
        <v>46</v>
      </c>
      <c r="AH18" s="378">
        <v>0.7</v>
      </c>
      <c r="AI18" s="335" t="s">
        <v>45</v>
      </c>
      <c r="AJ18" s="379">
        <v>9.17</v>
      </c>
      <c r="AK18" s="335" t="s">
        <v>49</v>
      </c>
      <c r="AL18" s="851"/>
      <c r="AN18" s="848"/>
      <c r="AO18" s="340">
        <f>+AQ18*(AT18*AV18)</f>
        <v>748.43999999999994</v>
      </c>
      <c r="AP18" s="335" t="s">
        <v>44</v>
      </c>
      <c r="AQ18" s="341">
        <f>AE18</f>
        <v>1260</v>
      </c>
      <c r="AR18" s="335" t="s">
        <v>45</v>
      </c>
      <c r="AS18" s="335" t="s">
        <v>46</v>
      </c>
      <c r="AT18" s="378">
        <v>0.02</v>
      </c>
      <c r="AU18" s="335" t="s">
        <v>45</v>
      </c>
      <c r="AV18" s="379">
        <v>29.7</v>
      </c>
      <c r="AW18" s="335" t="s">
        <v>49</v>
      </c>
      <c r="AX18" s="851"/>
      <c r="AZ18" s="848"/>
      <c r="BA18" s="340">
        <f>'État des Résultats'!H14-'État des Résultats'!H45</f>
        <v>35077.14788407187</v>
      </c>
      <c r="BB18" s="335" t="s">
        <v>44</v>
      </c>
      <c r="BC18" s="341">
        <f>G18</f>
        <v>1260</v>
      </c>
      <c r="BD18" s="335" t="s">
        <v>45</v>
      </c>
      <c r="BE18" s="335" t="s">
        <v>46</v>
      </c>
      <c r="BF18" s="342">
        <f>J18</f>
        <v>2.2200000000000002</v>
      </c>
      <c r="BG18" s="335" t="s">
        <v>45</v>
      </c>
      <c r="BH18" s="343">
        <f>BA18/BC18/BF18</f>
        <v>12.540092908648601</v>
      </c>
      <c r="BI18" s="335" t="s">
        <v>49</v>
      </c>
      <c r="BJ18" s="851"/>
      <c r="BL18" s="848"/>
      <c r="BM18" s="340">
        <f>'État des Résultats'!H45</f>
        <v>-3938.7678840718668</v>
      </c>
      <c r="BN18" s="335" t="s">
        <v>44</v>
      </c>
      <c r="BO18" s="341">
        <f>S18</f>
        <v>1260</v>
      </c>
      <c r="BP18" s="335" t="s">
        <v>45</v>
      </c>
      <c r="BQ18" s="335" t="s">
        <v>46</v>
      </c>
      <c r="BR18" s="342">
        <f>J18</f>
        <v>2.2200000000000002</v>
      </c>
      <c r="BS18" s="335" t="s">
        <v>45</v>
      </c>
      <c r="BT18" s="343">
        <f>BM18/BO18/BR18</f>
        <v>-1.4081109266666187</v>
      </c>
      <c r="BU18" s="335" t="s">
        <v>49</v>
      </c>
      <c r="BV18" s="851"/>
    </row>
    <row r="19" spans="2:74" ht="17" thickBot="1" x14ac:dyDescent="0.25">
      <c r="B19" s="884"/>
      <c r="C19" s="895"/>
      <c r="D19" s="849"/>
      <c r="E19" s="344"/>
      <c r="F19" s="344"/>
      <c r="G19" s="344"/>
      <c r="H19" s="344"/>
      <c r="I19" s="344"/>
      <c r="J19" s="344"/>
      <c r="K19" s="344"/>
      <c r="L19" s="344"/>
      <c r="M19" s="344"/>
      <c r="N19" s="852"/>
      <c r="P19" s="849"/>
      <c r="Q19" s="344"/>
      <c r="R19" s="344"/>
      <c r="S19" s="344"/>
      <c r="T19" s="344"/>
      <c r="U19" s="344"/>
      <c r="V19" s="344"/>
      <c r="W19" s="344"/>
      <c r="X19" s="344"/>
      <c r="Y19" s="344"/>
      <c r="Z19" s="852"/>
      <c r="AB19" s="849"/>
      <c r="AC19" s="344"/>
      <c r="AD19" s="344"/>
      <c r="AE19" s="344"/>
      <c r="AF19" s="344"/>
      <c r="AG19" s="344"/>
      <c r="AH19" s="344"/>
      <c r="AI19" s="344"/>
      <c r="AJ19" s="344"/>
      <c r="AK19" s="344"/>
      <c r="AL19" s="852"/>
      <c r="AN19" s="849"/>
      <c r="AO19" s="344"/>
      <c r="AP19" s="344"/>
      <c r="AQ19" s="344"/>
      <c r="AR19" s="344"/>
      <c r="AS19" s="344"/>
      <c r="AT19" s="344"/>
      <c r="AU19" s="344"/>
      <c r="AV19" s="344"/>
      <c r="AW19" s="344"/>
      <c r="AX19" s="852"/>
      <c r="AZ19" s="849"/>
      <c r="BA19" s="344"/>
      <c r="BB19" s="344"/>
      <c r="BC19" s="344"/>
      <c r="BD19" s="344"/>
      <c r="BE19" s="344"/>
      <c r="BF19" s="344"/>
      <c r="BG19" s="344"/>
      <c r="BH19" s="344"/>
      <c r="BI19" s="344"/>
      <c r="BJ19" s="852"/>
      <c r="BL19" s="849"/>
      <c r="BM19" s="344"/>
      <c r="BN19" s="344"/>
      <c r="BO19" s="344"/>
      <c r="BP19" s="344"/>
      <c r="BQ19" s="344"/>
      <c r="BR19" s="344"/>
      <c r="BS19" s="344"/>
      <c r="BT19" s="344"/>
      <c r="BU19" s="344"/>
      <c r="BV19" s="852"/>
    </row>
    <row r="20" spans="2:74" ht="5" customHeight="1" thickTop="1" thickBot="1" x14ac:dyDescent="0.2">
      <c r="B20" s="884"/>
      <c r="C20" s="210"/>
    </row>
    <row r="21" spans="2:74" ht="17" thickTop="1" x14ac:dyDescent="0.2">
      <c r="B21" s="884"/>
      <c r="C21" s="895"/>
      <c r="D21" s="847" t="s">
        <v>42</v>
      </c>
      <c r="E21" s="333"/>
      <c r="F21" s="333"/>
      <c r="G21" s="333"/>
      <c r="H21" s="333"/>
      <c r="I21" s="333"/>
      <c r="J21" s="333"/>
      <c r="K21" s="333"/>
      <c r="L21" s="333"/>
      <c r="M21" s="333"/>
      <c r="N21" s="850" t="s">
        <v>43</v>
      </c>
      <c r="P21" s="847" t="s">
        <v>42</v>
      </c>
      <c r="Q21" s="333"/>
      <c r="R21" s="333"/>
      <c r="S21" s="333"/>
      <c r="T21" s="333"/>
      <c r="U21" s="333"/>
      <c r="V21" s="333"/>
      <c r="W21" s="333"/>
      <c r="X21" s="333"/>
      <c r="Y21" s="333"/>
      <c r="Z21" s="850" t="s">
        <v>43</v>
      </c>
      <c r="AB21" s="847" t="s">
        <v>42</v>
      </c>
      <c r="AC21" s="333"/>
      <c r="AD21" s="333"/>
      <c r="AE21" s="333"/>
      <c r="AF21" s="333"/>
      <c r="AG21" s="333"/>
      <c r="AH21" s="333"/>
      <c r="AI21" s="333"/>
      <c r="AJ21" s="333"/>
      <c r="AK21" s="333"/>
      <c r="AL21" s="850" t="s">
        <v>43</v>
      </c>
      <c r="AN21" s="847" t="s">
        <v>42</v>
      </c>
      <c r="AO21" s="333"/>
      <c r="AP21" s="333"/>
      <c r="AQ21" s="333"/>
      <c r="AR21" s="333"/>
      <c r="AS21" s="333"/>
      <c r="AT21" s="333"/>
      <c r="AU21" s="333"/>
      <c r="AV21" s="333"/>
      <c r="AW21" s="333"/>
      <c r="AX21" s="850" t="s">
        <v>43</v>
      </c>
      <c r="AZ21" s="847" t="s">
        <v>42</v>
      </c>
      <c r="BA21" s="333"/>
      <c r="BB21" s="333"/>
      <c r="BC21" s="333"/>
      <c r="BD21" s="333"/>
      <c r="BE21" s="333"/>
      <c r="BF21" s="333"/>
      <c r="BG21" s="333"/>
      <c r="BH21" s="333"/>
      <c r="BI21" s="333"/>
      <c r="BJ21" s="850" t="s">
        <v>43</v>
      </c>
      <c r="BL21" s="847" t="s">
        <v>42</v>
      </c>
      <c r="BM21" s="333"/>
      <c r="BN21" s="333"/>
      <c r="BO21" s="333"/>
      <c r="BP21" s="333"/>
      <c r="BQ21" s="333"/>
      <c r="BR21" s="333"/>
      <c r="BS21" s="333"/>
      <c r="BT21" s="333"/>
      <c r="BU21" s="333"/>
      <c r="BV21" s="850" t="s">
        <v>43</v>
      </c>
    </row>
    <row r="22" spans="2:74" ht="16" x14ac:dyDescent="0.2">
      <c r="B22" s="884"/>
      <c r="C22" s="895"/>
      <c r="D22" s="848"/>
      <c r="E22" s="334"/>
      <c r="F22" s="334"/>
      <c r="G22" s="334"/>
      <c r="H22" s="334"/>
      <c r="I22" s="334"/>
      <c r="J22" s="334"/>
      <c r="K22" s="334"/>
      <c r="L22" s="334"/>
      <c r="M22" s="334"/>
      <c r="N22" s="851"/>
      <c r="P22" s="848"/>
      <c r="Q22" s="334"/>
      <c r="R22" s="334"/>
      <c r="S22" s="334"/>
      <c r="T22" s="334"/>
      <c r="U22" s="334"/>
      <c r="V22" s="334"/>
      <c r="W22" s="334"/>
      <c r="X22" s="334"/>
      <c r="Y22" s="334"/>
      <c r="Z22" s="851"/>
      <c r="AB22" s="848"/>
      <c r="AC22" s="334"/>
      <c r="AD22" s="334"/>
      <c r="AE22" s="334"/>
      <c r="AF22" s="334"/>
      <c r="AG22" s="334"/>
      <c r="AH22" s="334"/>
      <c r="AI22" s="334"/>
      <c r="AJ22" s="334"/>
      <c r="AK22" s="334"/>
      <c r="AL22" s="851"/>
      <c r="AN22" s="848"/>
      <c r="AO22" s="334"/>
      <c r="AP22" s="334"/>
      <c r="AQ22" s="334"/>
      <c r="AR22" s="334"/>
      <c r="AS22" s="334"/>
      <c r="AT22" s="334"/>
      <c r="AU22" s="334"/>
      <c r="AV22" s="334"/>
      <c r="AW22" s="334"/>
      <c r="AX22" s="851"/>
      <c r="AZ22" s="848"/>
      <c r="BA22" s="334"/>
      <c r="BB22" s="334"/>
      <c r="BC22" s="334"/>
      <c r="BD22" s="334"/>
      <c r="BE22" s="334"/>
      <c r="BF22" s="334"/>
      <c r="BG22" s="334"/>
      <c r="BH22" s="334"/>
      <c r="BI22" s="334"/>
      <c r="BJ22" s="851"/>
      <c r="BL22" s="848"/>
      <c r="BM22" s="334"/>
      <c r="BN22" s="334"/>
      <c r="BO22" s="334"/>
      <c r="BP22" s="334"/>
      <c r="BQ22" s="334"/>
      <c r="BR22" s="334"/>
      <c r="BS22" s="334"/>
      <c r="BT22" s="334"/>
      <c r="BU22" s="334"/>
      <c r="BV22" s="851"/>
    </row>
    <row r="23" spans="2:74" ht="21" x14ac:dyDescent="0.25">
      <c r="B23" s="884"/>
      <c r="C23" s="895"/>
      <c r="D23" s="848"/>
      <c r="E23" s="335" t="str">
        <f>E15</f>
        <v>Demande mensuelle</v>
      </c>
      <c r="F23" s="335" t="s">
        <v>44</v>
      </c>
      <c r="G23" s="335" t="str">
        <f>+G15</f>
        <v>Achalandage mensuel</v>
      </c>
      <c r="H23" s="335" t="s">
        <v>45</v>
      </c>
      <c r="I23" s="335" t="s">
        <v>46</v>
      </c>
      <c r="J23" s="335" t="str">
        <f>J15</f>
        <v>Um/A</v>
      </c>
      <c r="K23" s="335" t="s">
        <v>45</v>
      </c>
      <c r="L23" s="335" t="str">
        <f>L15</f>
        <v>PmO</v>
      </c>
      <c r="M23" s="335" t="s">
        <v>49</v>
      </c>
      <c r="N23" s="851"/>
      <c r="P23" s="848"/>
      <c r="Q23" s="335" t="str">
        <f>Q15</f>
        <v>Demande mensuelle</v>
      </c>
      <c r="R23" s="335" t="s">
        <v>44</v>
      </c>
      <c r="S23" s="335" t="str">
        <f>+S15</f>
        <v>Achalandage mensuel</v>
      </c>
      <c r="T23" s="335" t="s">
        <v>45</v>
      </c>
      <c r="U23" s="335" t="s">
        <v>46</v>
      </c>
      <c r="V23" s="335" t="str">
        <f>V15</f>
        <v>Um/A</v>
      </c>
      <c r="W23" s="335" t="s">
        <v>45</v>
      </c>
      <c r="X23" s="335" t="str">
        <f>X15</f>
        <v>PmO</v>
      </c>
      <c r="Y23" s="335" t="s">
        <v>49</v>
      </c>
      <c r="Z23" s="851"/>
      <c r="AB23" s="848"/>
      <c r="AC23" s="335" t="str">
        <f>AC15</f>
        <v>Demande mensuelle</v>
      </c>
      <c r="AD23" s="335" t="s">
        <v>44</v>
      </c>
      <c r="AE23" s="335" t="str">
        <f>AE15</f>
        <v>Achalandage mensuel</v>
      </c>
      <c r="AF23" s="335" t="s">
        <v>45</v>
      </c>
      <c r="AG23" s="335" t="s">
        <v>46</v>
      </c>
      <c r="AH23" s="335" t="str">
        <f>AH15</f>
        <v>Um/A</v>
      </c>
      <c r="AI23" s="335" t="s">
        <v>45</v>
      </c>
      <c r="AJ23" s="335" t="str">
        <f>AJ15</f>
        <v>PmO</v>
      </c>
      <c r="AK23" s="335" t="s">
        <v>49</v>
      </c>
      <c r="AL23" s="851"/>
      <c r="AN23" s="848"/>
      <c r="AO23" s="335" t="str">
        <f>AO15</f>
        <v>Demande mensuelle</v>
      </c>
      <c r="AP23" s="335" t="s">
        <v>44</v>
      </c>
      <c r="AQ23" s="335" t="str">
        <f>AQ15</f>
        <v>Achalandage mensuel</v>
      </c>
      <c r="AR23" s="335" t="s">
        <v>45</v>
      </c>
      <c r="AS23" s="335" t="s">
        <v>46</v>
      </c>
      <c r="AT23" s="335" t="str">
        <f>AT15</f>
        <v>Um/A</v>
      </c>
      <c r="AU23" s="335" t="s">
        <v>45</v>
      </c>
      <c r="AV23" s="335" t="str">
        <f>AV15</f>
        <v>PmO</v>
      </c>
      <c r="AW23" s="335" t="s">
        <v>49</v>
      </c>
      <c r="AX23" s="851"/>
      <c r="AZ23" s="848"/>
      <c r="BA23" s="335" t="str">
        <f>BA15</f>
        <v>Coût mensuel</v>
      </c>
      <c r="BB23" s="335" t="s">
        <v>44</v>
      </c>
      <c r="BC23" s="335" t="str">
        <f>G23</f>
        <v>Achalandage mensuel</v>
      </c>
      <c r="BD23" s="335" t="s">
        <v>45</v>
      </c>
      <c r="BE23" s="335" t="s">
        <v>46</v>
      </c>
      <c r="BF23" s="335" t="str">
        <f>J23</f>
        <v>Um/A</v>
      </c>
      <c r="BG23" s="335" t="s">
        <v>45</v>
      </c>
      <c r="BH23" s="335" t="str">
        <f>BH15</f>
        <v>CmO</v>
      </c>
      <c r="BI23" s="335" t="s">
        <v>49</v>
      </c>
      <c r="BJ23" s="851"/>
      <c r="BL23" s="848"/>
      <c r="BM23" s="335" t="str">
        <f>BM15</f>
        <v>Bénéfice mensuel</v>
      </c>
      <c r="BN23" s="335" t="s">
        <v>44</v>
      </c>
      <c r="BO23" s="335" t="str">
        <f>S23</f>
        <v>Achalandage mensuel</v>
      </c>
      <c r="BP23" s="335" t="s">
        <v>45</v>
      </c>
      <c r="BQ23" s="335" t="s">
        <v>46</v>
      </c>
      <c r="BR23" s="335" t="str">
        <f>V23</f>
        <v>Um/A</v>
      </c>
      <c r="BS23" s="335" t="s">
        <v>45</v>
      </c>
      <c r="BT23" s="335" t="str">
        <f>BT15</f>
        <v>BmO</v>
      </c>
      <c r="BU23" s="335" t="s">
        <v>49</v>
      </c>
      <c r="BV23" s="851"/>
    </row>
    <row r="24" spans="2:74" ht="19" x14ac:dyDescent="0.25">
      <c r="B24" s="884"/>
      <c r="C24" s="895"/>
      <c r="D24" s="848"/>
      <c r="E24" s="336" t="s">
        <v>2</v>
      </c>
      <c r="F24" s="337"/>
      <c r="G24" s="336"/>
      <c r="H24" s="337"/>
      <c r="I24" s="337"/>
      <c r="J24" s="337"/>
      <c r="K24" s="337"/>
      <c r="L24" s="337"/>
      <c r="M24" s="337"/>
      <c r="N24" s="851"/>
      <c r="P24" s="848"/>
      <c r="Q24" s="336" t="s">
        <v>2</v>
      </c>
      <c r="R24" s="337"/>
      <c r="S24" s="336"/>
      <c r="T24" s="337"/>
      <c r="U24" s="337"/>
      <c r="V24" s="337"/>
      <c r="W24" s="337"/>
      <c r="X24" s="337"/>
      <c r="Y24" s="337"/>
      <c r="Z24" s="851"/>
      <c r="AB24" s="848"/>
      <c r="AC24" s="336" t="s">
        <v>2</v>
      </c>
      <c r="AD24" s="337"/>
      <c r="AE24" s="336"/>
      <c r="AF24" s="337"/>
      <c r="AG24" s="337"/>
      <c r="AH24" s="337"/>
      <c r="AI24" s="337"/>
      <c r="AJ24" s="337"/>
      <c r="AK24" s="337"/>
      <c r="AL24" s="851"/>
      <c r="AN24" s="848"/>
      <c r="AO24" s="336" t="s">
        <v>2</v>
      </c>
      <c r="AP24" s="337"/>
      <c r="AQ24" s="336"/>
      <c r="AR24" s="337"/>
      <c r="AS24" s="337"/>
      <c r="AT24" s="337"/>
      <c r="AU24" s="337"/>
      <c r="AV24" s="337"/>
      <c r="AW24" s="337"/>
      <c r="AX24" s="851"/>
      <c r="AZ24" s="848"/>
      <c r="BA24" s="336" t="s">
        <v>2</v>
      </c>
      <c r="BB24" s="337"/>
      <c r="BC24" s="336"/>
      <c r="BD24" s="337"/>
      <c r="BE24" s="337"/>
      <c r="BF24" s="337"/>
      <c r="BG24" s="337"/>
      <c r="BH24" s="337"/>
      <c r="BI24" s="337"/>
      <c r="BJ24" s="851"/>
      <c r="BL24" s="848"/>
      <c r="BM24" s="336" t="s">
        <v>2</v>
      </c>
      <c r="BN24" s="337"/>
      <c r="BO24" s="336"/>
      <c r="BP24" s="337"/>
      <c r="BQ24" s="337"/>
      <c r="BR24" s="337"/>
      <c r="BS24" s="337"/>
      <c r="BT24" s="337"/>
      <c r="BU24" s="337"/>
      <c r="BV24" s="851"/>
    </row>
    <row r="25" spans="2:74" ht="26" x14ac:dyDescent="0.3">
      <c r="B25" s="884"/>
      <c r="C25" s="895"/>
      <c r="D25" s="848"/>
      <c r="E25" s="338" t="str">
        <f>E17</f>
        <v>D</v>
      </c>
      <c r="F25" s="339"/>
      <c r="G25" s="338" t="str">
        <f>G17</f>
        <v>A</v>
      </c>
      <c r="H25" s="339"/>
      <c r="I25" s="339"/>
      <c r="J25" s="338" t="str">
        <f>+J23</f>
        <v>Um/A</v>
      </c>
      <c r="K25" s="339"/>
      <c r="L25" s="338" t="str">
        <f>+L23</f>
        <v>PmO</v>
      </c>
      <c r="M25" s="339"/>
      <c r="N25" s="851"/>
      <c r="P25" s="848"/>
      <c r="Q25" s="338" t="str">
        <f>Q17</f>
        <v>D</v>
      </c>
      <c r="R25" s="339"/>
      <c r="S25" s="338" t="str">
        <f>S17</f>
        <v>A</v>
      </c>
      <c r="T25" s="339"/>
      <c r="U25" s="339"/>
      <c r="V25" s="338" t="str">
        <f>+V23</f>
        <v>Um/A</v>
      </c>
      <c r="W25" s="339"/>
      <c r="X25" s="338" t="str">
        <f>+X23</f>
        <v>PmO</v>
      </c>
      <c r="Y25" s="339"/>
      <c r="Z25" s="851"/>
      <c r="AB25" s="848"/>
      <c r="AC25" s="338" t="str">
        <f>AC17</f>
        <v>D</v>
      </c>
      <c r="AD25" s="339"/>
      <c r="AE25" s="338" t="str">
        <f>AE17</f>
        <v>A</v>
      </c>
      <c r="AF25" s="339"/>
      <c r="AG25" s="339"/>
      <c r="AH25" s="338" t="str">
        <f>+AH23</f>
        <v>Um/A</v>
      </c>
      <c r="AI25" s="339"/>
      <c r="AJ25" s="338" t="str">
        <f>+AJ23</f>
        <v>PmO</v>
      </c>
      <c r="AK25" s="339"/>
      <c r="AL25" s="851"/>
      <c r="AN25" s="848"/>
      <c r="AO25" s="338" t="str">
        <f>AO17</f>
        <v>D</v>
      </c>
      <c r="AP25" s="339"/>
      <c r="AQ25" s="338" t="str">
        <f>AQ17</f>
        <v>A</v>
      </c>
      <c r="AR25" s="339"/>
      <c r="AS25" s="339"/>
      <c r="AT25" s="338" t="str">
        <f>+AT23</f>
        <v>Um/A</v>
      </c>
      <c r="AU25" s="339"/>
      <c r="AV25" s="338" t="str">
        <f>+AV23</f>
        <v>PmO</v>
      </c>
      <c r="AW25" s="339"/>
      <c r="AX25" s="851"/>
      <c r="AZ25" s="848"/>
      <c r="BA25" s="338" t="str">
        <f>BA17</f>
        <v xml:space="preserve">C </v>
      </c>
      <c r="BB25" s="339"/>
      <c r="BC25" s="338" t="str">
        <f>G25</f>
        <v>A</v>
      </c>
      <c r="BD25" s="339"/>
      <c r="BE25" s="339"/>
      <c r="BF25" s="338" t="str">
        <f>BF23</f>
        <v>Um/A</v>
      </c>
      <c r="BG25" s="339"/>
      <c r="BH25" s="338" t="str">
        <f>BH23</f>
        <v>CmO</v>
      </c>
      <c r="BI25" s="339"/>
      <c r="BJ25" s="851"/>
      <c r="BL25" s="848"/>
      <c r="BM25" s="338" t="str">
        <f>BM17</f>
        <v xml:space="preserve">B </v>
      </c>
      <c r="BN25" s="339"/>
      <c r="BO25" s="338" t="str">
        <f>S25</f>
        <v>A</v>
      </c>
      <c r="BP25" s="339"/>
      <c r="BQ25" s="339"/>
      <c r="BR25" s="338" t="str">
        <f>BR23</f>
        <v>Um/A</v>
      </c>
      <c r="BS25" s="339"/>
      <c r="BT25" s="338" t="str">
        <f>BT23</f>
        <v>BmO</v>
      </c>
      <c r="BU25" s="339"/>
      <c r="BV25" s="851"/>
    </row>
    <row r="26" spans="2:74" ht="21" x14ac:dyDescent="0.25">
      <c r="B26" s="884"/>
      <c r="C26" s="895"/>
      <c r="D26" s="848"/>
      <c r="E26" s="340">
        <f>+Q26+AC26+AO26</f>
        <v>38305.15</v>
      </c>
      <c r="F26" s="335" t="s">
        <v>44</v>
      </c>
      <c r="G26" s="341">
        <f>'% Occupation'!F19</f>
        <v>1550</v>
      </c>
      <c r="H26" s="335" t="s">
        <v>45</v>
      </c>
      <c r="I26" s="335" t="s">
        <v>46</v>
      </c>
      <c r="J26" s="342">
        <f>+V26+AH26+AT26</f>
        <v>2.2200000000000002</v>
      </c>
      <c r="K26" s="335" t="s">
        <v>45</v>
      </c>
      <c r="L26" s="343">
        <f>E26/G26/J26</f>
        <v>11.131981981981982</v>
      </c>
      <c r="M26" s="335" t="s">
        <v>49</v>
      </c>
      <c r="N26" s="851"/>
      <c r="P26" s="848"/>
      <c r="Q26" s="340">
        <f>+S26*(V26*X26)</f>
        <v>27435.000000000004</v>
      </c>
      <c r="R26" s="335" t="s">
        <v>44</v>
      </c>
      <c r="S26" s="341">
        <f>G26</f>
        <v>1550</v>
      </c>
      <c r="T26" s="335" t="s">
        <v>45</v>
      </c>
      <c r="U26" s="335" t="s">
        <v>46</v>
      </c>
      <c r="V26" s="378">
        <v>1.5</v>
      </c>
      <c r="W26" s="335" t="s">
        <v>45</v>
      </c>
      <c r="X26" s="379">
        <v>11.8</v>
      </c>
      <c r="Y26" s="335" t="s">
        <v>49</v>
      </c>
      <c r="Z26" s="851"/>
      <c r="AB26" s="848"/>
      <c r="AC26" s="340">
        <f>+AE26*(AH26*AJ26)</f>
        <v>9949.4499999999989</v>
      </c>
      <c r="AD26" s="335" t="s">
        <v>44</v>
      </c>
      <c r="AE26" s="341">
        <f>S26</f>
        <v>1550</v>
      </c>
      <c r="AF26" s="335" t="s">
        <v>45</v>
      </c>
      <c r="AG26" s="335" t="s">
        <v>46</v>
      </c>
      <c r="AH26" s="378">
        <v>0.7</v>
      </c>
      <c r="AI26" s="335" t="s">
        <v>45</v>
      </c>
      <c r="AJ26" s="379">
        <v>9.17</v>
      </c>
      <c r="AK26" s="335" t="s">
        <v>49</v>
      </c>
      <c r="AL26" s="851"/>
      <c r="AN26" s="848"/>
      <c r="AO26" s="340">
        <f>+AQ26*(AT26*AV26)</f>
        <v>920.69999999999993</v>
      </c>
      <c r="AP26" s="335" t="s">
        <v>44</v>
      </c>
      <c r="AQ26" s="341">
        <f>AE26</f>
        <v>1550</v>
      </c>
      <c r="AR26" s="335" t="s">
        <v>45</v>
      </c>
      <c r="AS26" s="335" t="s">
        <v>46</v>
      </c>
      <c r="AT26" s="378">
        <v>0.02</v>
      </c>
      <c r="AU26" s="335" t="s">
        <v>45</v>
      </c>
      <c r="AV26" s="379">
        <v>29.7</v>
      </c>
      <c r="AW26" s="335" t="s">
        <v>49</v>
      </c>
      <c r="AX26" s="851"/>
      <c r="AZ26" s="848"/>
      <c r="BA26" s="340">
        <f>'État des Résultats'!K14-'État des Résultats'!K45</f>
        <v>34436.510511358254</v>
      </c>
      <c r="BB26" s="335" t="s">
        <v>44</v>
      </c>
      <c r="BC26" s="341">
        <f>G26</f>
        <v>1550</v>
      </c>
      <c r="BD26" s="335" t="s">
        <v>45</v>
      </c>
      <c r="BE26" s="335" t="s">
        <v>46</v>
      </c>
      <c r="BF26" s="342">
        <f>J26</f>
        <v>2.2200000000000002</v>
      </c>
      <c r="BG26" s="335" t="s">
        <v>45</v>
      </c>
      <c r="BH26" s="343">
        <f>BA26/BC26/BF26</f>
        <v>10.007704304376126</v>
      </c>
      <c r="BI26" s="335" t="s">
        <v>49</v>
      </c>
      <c r="BJ26" s="851"/>
      <c r="BL26" s="848"/>
      <c r="BM26" s="340">
        <f>'État des Résultats'!K45</f>
        <v>3868.6394886417497</v>
      </c>
      <c r="BN26" s="335" t="s">
        <v>44</v>
      </c>
      <c r="BO26" s="341">
        <f>S26</f>
        <v>1550</v>
      </c>
      <c r="BP26" s="335" t="s">
        <v>45</v>
      </c>
      <c r="BQ26" s="335" t="s">
        <v>46</v>
      </c>
      <c r="BR26" s="342">
        <f>J26</f>
        <v>2.2200000000000002</v>
      </c>
      <c r="BS26" s="335" t="s">
        <v>45</v>
      </c>
      <c r="BT26" s="343">
        <f>BM26/BO26/BR26</f>
        <v>1.1242776776058558</v>
      </c>
      <c r="BU26" s="335" t="s">
        <v>49</v>
      </c>
      <c r="BV26" s="851"/>
    </row>
    <row r="27" spans="2:74" ht="17" thickBot="1" x14ac:dyDescent="0.25">
      <c r="B27" s="885"/>
      <c r="C27" s="895"/>
      <c r="D27" s="849"/>
      <c r="E27" s="344"/>
      <c r="F27" s="344"/>
      <c r="G27" s="344"/>
      <c r="H27" s="344"/>
      <c r="I27" s="344"/>
      <c r="J27" s="344"/>
      <c r="K27" s="344"/>
      <c r="L27" s="344"/>
      <c r="M27" s="344"/>
      <c r="N27" s="852"/>
      <c r="P27" s="849"/>
      <c r="Q27" s="344"/>
      <c r="R27" s="344"/>
      <c r="S27" s="344"/>
      <c r="T27" s="344"/>
      <c r="U27" s="344"/>
      <c r="V27" s="344"/>
      <c r="W27" s="344"/>
      <c r="X27" s="344"/>
      <c r="Y27" s="344"/>
      <c r="Z27" s="852"/>
      <c r="AB27" s="849"/>
      <c r="AC27" s="344"/>
      <c r="AD27" s="344"/>
      <c r="AE27" s="344"/>
      <c r="AF27" s="344"/>
      <c r="AG27" s="344"/>
      <c r="AH27" s="344"/>
      <c r="AI27" s="344"/>
      <c r="AJ27" s="344"/>
      <c r="AK27" s="344"/>
      <c r="AL27" s="852"/>
      <c r="AN27" s="849"/>
      <c r="AO27" s="344"/>
      <c r="AP27" s="344"/>
      <c r="AQ27" s="344"/>
      <c r="AR27" s="344"/>
      <c r="AS27" s="344"/>
      <c r="AT27" s="344"/>
      <c r="AU27" s="344"/>
      <c r="AV27" s="344"/>
      <c r="AW27" s="344"/>
      <c r="AX27" s="852"/>
      <c r="AZ27" s="849"/>
      <c r="BA27" s="344"/>
      <c r="BB27" s="344"/>
      <c r="BC27" s="344"/>
      <c r="BD27" s="344"/>
      <c r="BE27" s="344"/>
      <c r="BF27" s="344"/>
      <c r="BG27" s="344"/>
      <c r="BH27" s="344"/>
      <c r="BI27" s="344"/>
      <c r="BJ27" s="852"/>
      <c r="BL27" s="849"/>
      <c r="BM27" s="344"/>
      <c r="BN27" s="344"/>
      <c r="BO27" s="344"/>
      <c r="BP27" s="344"/>
      <c r="BQ27" s="344"/>
      <c r="BR27" s="344"/>
      <c r="BS27" s="344"/>
      <c r="BT27" s="344"/>
      <c r="BU27" s="344"/>
      <c r="BV27" s="852"/>
    </row>
    <row r="28" spans="2:74" ht="10" customHeight="1" thickBot="1" x14ac:dyDescent="0.25">
      <c r="C28" s="210"/>
      <c r="P28" s="162" t="s">
        <v>2</v>
      </c>
      <c r="AB28" s="162" t="s">
        <v>2</v>
      </c>
      <c r="AN28" s="162" t="s">
        <v>2</v>
      </c>
    </row>
    <row r="29" spans="2:74" ht="17" thickTop="1" x14ac:dyDescent="0.2">
      <c r="B29" s="886">
        <v>2</v>
      </c>
      <c r="C29" s="895"/>
      <c r="D29" s="853" t="s">
        <v>42</v>
      </c>
      <c r="E29" s="345"/>
      <c r="F29" s="345"/>
      <c r="G29" s="345"/>
      <c r="H29" s="345"/>
      <c r="I29" s="345"/>
      <c r="J29" s="345"/>
      <c r="K29" s="345"/>
      <c r="L29" s="345"/>
      <c r="M29" s="345"/>
      <c r="N29" s="856" t="s">
        <v>43</v>
      </c>
      <c r="P29" s="853" t="s">
        <v>42</v>
      </c>
      <c r="Q29" s="345"/>
      <c r="R29" s="345"/>
      <c r="S29" s="345"/>
      <c r="T29" s="345"/>
      <c r="U29" s="345"/>
      <c r="V29" s="345"/>
      <c r="W29" s="345"/>
      <c r="X29" s="345"/>
      <c r="Y29" s="345"/>
      <c r="Z29" s="856" t="s">
        <v>43</v>
      </c>
      <c r="AB29" s="853" t="s">
        <v>42</v>
      </c>
      <c r="AC29" s="345"/>
      <c r="AD29" s="345"/>
      <c r="AE29" s="345"/>
      <c r="AF29" s="345"/>
      <c r="AG29" s="345"/>
      <c r="AH29" s="345"/>
      <c r="AI29" s="345"/>
      <c r="AJ29" s="345"/>
      <c r="AK29" s="345"/>
      <c r="AL29" s="856" t="s">
        <v>43</v>
      </c>
      <c r="AN29" s="853" t="s">
        <v>42</v>
      </c>
      <c r="AO29" s="345"/>
      <c r="AP29" s="345"/>
      <c r="AQ29" s="345"/>
      <c r="AR29" s="345"/>
      <c r="AS29" s="345"/>
      <c r="AT29" s="345"/>
      <c r="AU29" s="345"/>
      <c r="AV29" s="345"/>
      <c r="AW29" s="345"/>
      <c r="AX29" s="856" t="s">
        <v>43</v>
      </c>
      <c r="AZ29" s="853" t="s">
        <v>42</v>
      </c>
      <c r="BA29" s="345"/>
      <c r="BB29" s="345"/>
      <c r="BC29" s="345"/>
      <c r="BD29" s="345"/>
      <c r="BE29" s="345"/>
      <c r="BF29" s="345"/>
      <c r="BG29" s="345"/>
      <c r="BH29" s="345"/>
      <c r="BI29" s="345"/>
      <c r="BJ29" s="856" t="s">
        <v>43</v>
      </c>
      <c r="BL29" s="853" t="s">
        <v>42</v>
      </c>
      <c r="BM29" s="345"/>
      <c r="BN29" s="345"/>
      <c r="BO29" s="345"/>
      <c r="BP29" s="345"/>
      <c r="BQ29" s="345"/>
      <c r="BR29" s="345"/>
      <c r="BS29" s="345"/>
      <c r="BT29" s="345"/>
      <c r="BU29" s="345"/>
      <c r="BV29" s="856" t="s">
        <v>43</v>
      </c>
    </row>
    <row r="30" spans="2:74" ht="16" x14ac:dyDescent="0.2">
      <c r="B30" s="887"/>
      <c r="C30" s="895"/>
      <c r="D30" s="854"/>
      <c r="E30" s="346"/>
      <c r="F30" s="346"/>
      <c r="G30" s="346"/>
      <c r="H30" s="346"/>
      <c r="I30" s="346"/>
      <c r="J30" s="346"/>
      <c r="K30" s="346"/>
      <c r="L30" s="346"/>
      <c r="M30" s="346"/>
      <c r="N30" s="857"/>
      <c r="P30" s="854"/>
      <c r="Q30" s="346"/>
      <c r="R30" s="346"/>
      <c r="S30" s="346"/>
      <c r="T30" s="346"/>
      <c r="U30" s="346"/>
      <c r="V30" s="346"/>
      <c r="W30" s="346"/>
      <c r="X30" s="346"/>
      <c r="Y30" s="346"/>
      <c r="Z30" s="857"/>
      <c r="AB30" s="854"/>
      <c r="AC30" s="346"/>
      <c r="AD30" s="346"/>
      <c r="AE30" s="346"/>
      <c r="AF30" s="346"/>
      <c r="AG30" s="346"/>
      <c r="AH30" s="346"/>
      <c r="AI30" s="346"/>
      <c r="AJ30" s="346"/>
      <c r="AK30" s="346"/>
      <c r="AL30" s="857"/>
      <c r="AN30" s="854"/>
      <c r="AO30" s="346"/>
      <c r="AP30" s="346"/>
      <c r="AQ30" s="346"/>
      <c r="AR30" s="346"/>
      <c r="AS30" s="346"/>
      <c r="AT30" s="346"/>
      <c r="AU30" s="346"/>
      <c r="AV30" s="346"/>
      <c r="AW30" s="346"/>
      <c r="AX30" s="857"/>
      <c r="AZ30" s="854"/>
      <c r="BA30" s="346"/>
      <c r="BB30" s="346"/>
      <c r="BC30" s="346"/>
      <c r="BD30" s="346"/>
      <c r="BE30" s="346"/>
      <c r="BF30" s="346"/>
      <c r="BG30" s="346"/>
      <c r="BH30" s="346"/>
      <c r="BI30" s="346"/>
      <c r="BJ30" s="857"/>
      <c r="BL30" s="854"/>
      <c r="BM30" s="346"/>
      <c r="BN30" s="346"/>
      <c r="BO30" s="346"/>
      <c r="BP30" s="346"/>
      <c r="BQ30" s="346"/>
      <c r="BR30" s="346"/>
      <c r="BS30" s="346"/>
      <c r="BT30" s="346"/>
      <c r="BU30" s="346"/>
      <c r="BV30" s="857"/>
    </row>
    <row r="31" spans="2:74" ht="21" x14ac:dyDescent="0.25">
      <c r="B31" s="887"/>
      <c r="C31" s="895"/>
      <c r="D31" s="854"/>
      <c r="E31" s="347" t="str">
        <f>E23</f>
        <v>Demande mensuelle</v>
      </c>
      <c r="F31" s="347" t="s">
        <v>44</v>
      </c>
      <c r="G31" s="347" t="str">
        <f>G23</f>
        <v>Achalandage mensuel</v>
      </c>
      <c r="H31" s="347" t="s">
        <v>45</v>
      </c>
      <c r="I31" s="347" t="s">
        <v>46</v>
      </c>
      <c r="J31" s="347" t="str">
        <f>J23</f>
        <v>Um/A</v>
      </c>
      <c r="K31" s="347" t="s">
        <v>45</v>
      </c>
      <c r="L31" s="347" t="str">
        <f>L23</f>
        <v>PmO</v>
      </c>
      <c r="M31" s="347" t="s">
        <v>49</v>
      </c>
      <c r="N31" s="857"/>
      <c r="P31" s="854"/>
      <c r="Q31" s="347" t="str">
        <f>Q23</f>
        <v>Demande mensuelle</v>
      </c>
      <c r="R31" s="347" t="s">
        <v>44</v>
      </c>
      <c r="S31" s="347" t="str">
        <f>S23</f>
        <v>Achalandage mensuel</v>
      </c>
      <c r="T31" s="347" t="s">
        <v>45</v>
      </c>
      <c r="U31" s="347" t="s">
        <v>46</v>
      </c>
      <c r="V31" s="347" t="str">
        <f>V23</f>
        <v>Um/A</v>
      </c>
      <c r="W31" s="347" t="s">
        <v>45</v>
      </c>
      <c r="X31" s="347" t="str">
        <f>X23</f>
        <v>PmO</v>
      </c>
      <c r="Y31" s="347" t="s">
        <v>49</v>
      </c>
      <c r="Z31" s="857"/>
      <c r="AB31" s="854"/>
      <c r="AC31" s="347" t="str">
        <f>AC23</f>
        <v>Demande mensuelle</v>
      </c>
      <c r="AD31" s="347" t="s">
        <v>44</v>
      </c>
      <c r="AE31" s="347" t="str">
        <f>AE23</f>
        <v>Achalandage mensuel</v>
      </c>
      <c r="AF31" s="347" t="s">
        <v>45</v>
      </c>
      <c r="AG31" s="347" t="s">
        <v>46</v>
      </c>
      <c r="AH31" s="347" t="str">
        <f>AH23</f>
        <v>Um/A</v>
      </c>
      <c r="AI31" s="347" t="s">
        <v>45</v>
      </c>
      <c r="AJ31" s="347" t="str">
        <f>AJ23</f>
        <v>PmO</v>
      </c>
      <c r="AK31" s="347" t="s">
        <v>49</v>
      </c>
      <c r="AL31" s="857"/>
      <c r="AN31" s="854"/>
      <c r="AO31" s="347" t="str">
        <f>AO23</f>
        <v>Demande mensuelle</v>
      </c>
      <c r="AP31" s="347" t="s">
        <v>44</v>
      </c>
      <c r="AQ31" s="347" t="str">
        <f>AQ23</f>
        <v>Achalandage mensuel</v>
      </c>
      <c r="AR31" s="347" t="s">
        <v>45</v>
      </c>
      <c r="AS31" s="347" t="s">
        <v>46</v>
      </c>
      <c r="AT31" s="347" t="str">
        <f>AT23</f>
        <v>Um/A</v>
      </c>
      <c r="AU31" s="347" t="s">
        <v>45</v>
      </c>
      <c r="AV31" s="347" t="str">
        <f>AV23</f>
        <v>PmO</v>
      </c>
      <c r="AW31" s="347" t="s">
        <v>49</v>
      </c>
      <c r="AX31" s="857"/>
      <c r="AZ31" s="854"/>
      <c r="BA31" s="347" t="str">
        <f>BA23</f>
        <v>Coût mensuel</v>
      </c>
      <c r="BB31" s="347" t="s">
        <v>44</v>
      </c>
      <c r="BC31" s="347" t="str">
        <f>BC23</f>
        <v>Achalandage mensuel</v>
      </c>
      <c r="BD31" s="347" t="s">
        <v>45</v>
      </c>
      <c r="BE31" s="347" t="s">
        <v>46</v>
      </c>
      <c r="BF31" s="347" t="str">
        <f>BF23</f>
        <v>Um/A</v>
      </c>
      <c r="BG31" s="347" t="s">
        <v>45</v>
      </c>
      <c r="BH31" s="347" t="str">
        <f>BH23</f>
        <v>CmO</v>
      </c>
      <c r="BI31" s="347" t="s">
        <v>49</v>
      </c>
      <c r="BJ31" s="857"/>
      <c r="BL31" s="854"/>
      <c r="BM31" s="347" t="str">
        <f>BM23</f>
        <v>Bénéfice mensuel</v>
      </c>
      <c r="BN31" s="347" t="s">
        <v>44</v>
      </c>
      <c r="BO31" s="347" t="str">
        <f>BO23</f>
        <v>Achalandage mensuel</v>
      </c>
      <c r="BP31" s="347" t="s">
        <v>45</v>
      </c>
      <c r="BQ31" s="347" t="s">
        <v>46</v>
      </c>
      <c r="BR31" s="347" t="str">
        <f>BR23</f>
        <v>Um/A</v>
      </c>
      <c r="BS31" s="347" t="s">
        <v>45</v>
      </c>
      <c r="BT31" s="347" t="str">
        <f>BT23</f>
        <v>BmO</v>
      </c>
      <c r="BU31" s="347" t="s">
        <v>49</v>
      </c>
      <c r="BV31" s="857"/>
    </row>
    <row r="32" spans="2:74" ht="19" x14ac:dyDescent="0.25">
      <c r="B32" s="887"/>
      <c r="C32" s="895"/>
      <c r="D32" s="854"/>
      <c r="E32" s="348" t="s">
        <v>2</v>
      </c>
      <c r="F32" s="349"/>
      <c r="G32" s="348"/>
      <c r="H32" s="349"/>
      <c r="I32" s="349"/>
      <c r="J32" s="349"/>
      <c r="K32" s="349"/>
      <c r="L32" s="349"/>
      <c r="M32" s="349"/>
      <c r="N32" s="857"/>
      <c r="P32" s="854"/>
      <c r="Q32" s="348" t="s">
        <v>2</v>
      </c>
      <c r="R32" s="349"/>
      <c r="S32" s="348"/>
      <c r="T32" s="349"/>
      <c r="U32" s="349"/>
      <c r="V32" s="349"/>
      <c r="W32" s="349"/>
      <c r="X32" s="349"/>
      <c r="Y32" s="349"/>
      <c r="Z32" s="857"/>
      <c r="AB32" s="854"/>
      <c r="AC32" s="348" t="s">
        <v>2</v>
      </c>
      <c r="AD32" s="349"/>
      <c r="AE32" s="348"/>
      <c r="AF32" s="349"/>
      <c r="AG32" s="349"/>
      <c r="AH32" s="349"/>
      <c r="AI32" s="349"/>
      <c r="AJ32" s="349"/>
      <c r="AK32" s="349"/>
      <c r="AL32" s="857"/>
      <c r="AN32" s="854"/>
      <c r="AO32" s="348" t="s">
        <v>2</v>
      </c>
      <c r="AP32" s="349"/>
      <c r="AQ32" s="348"/>
      <c r="AR32" s="349"/>
      <c r="AS32" s="349"/>
      <c r="AT32" s="349"/>
      <c r="AU32" s="349"/>
      <c r="AV32" s="349"/>
      <c r="AW32" s="349"/>
      <c r="AX32" s="857"/>
      <c r="AZ32" s="854"/>
      <c r="BA32" s="348" t="s">
        <v>2</v>
      </c>
      <c r="BB32" s="349"/>
      <c r="BC32" s="348"/>
      <c r="BD32" s="349"/>
      <c r="BE32" s="349"/>
      <c r="BF32" s="349"/>
      <c r="BG32" s="349"/>
      <c r="BH32" s="349"/>
      <c r="BI32" s="349"/>
      <c r="BJ32" s="857"/>
      <c r="BL32" s="854"/>
      <c r="BM32" s="348" t="s">
        <v>2</v>
      </c>
      <c r="BN32" s="349"/>
      <c r="BO32" s="348"/>
      <c r="BP32" s="349"/>
      <c r="BQ32" s="349"/>
      <c r="BR32" s="349"/>
      <c r="BS32" s="349"/>
      <c r="BT32" s="349"/>
      <c r="BU32" s="349"/>
      <c r="BV32" s="857"/>
    </row>
    <row r="33" spans="2:74" ht="26" x14ac:dyDescent="0.3">
      <c r="B33" s="887"/>
      <c r="C33" s="895"/>
      <c r="D33" s="854"/>
      <c r="E33" s="350" t="str">
        <f>E25</f>
        <v>D</v>
      </c>
      <c r="F33" s="351"/>
      <c r="G33" s="350" t="str">
        <f>G25</f>
        <v>A</v>
      </c>
      <c r="H33" s="351"/>
      <c r="I33" s="351"/>
      <c r="J33" s="350" t="str">
        <f>+J31</f>
        <v>Um/A</v>
      </c>
      <c r="K33" s="351"/>
      <c r="L33" s="350" t="str">
        <f>+L31</f>
        <v>PmO</v>
      </c>
      <c r="M33" s="351"/>
      <c r="N33" s="857"/>
      <c r="P33" s="854"/>
      <c r="Q33" s="350" t="str">
        <f>Q25</f>
        <v>D</v>
      </c>
      <c r="R33" s="351"/>
      <c r="S33" s="350" t="str">
        <f>S25</f>
        <v>A</v>
      </c>
      <c r="T33" s="351"/>
      <c r="U33" s="351"/>
      <c r="V33" s="350" t="str">
        <f>+V31</f>
        <v>Um/A</v>
      </c>
      <c r="W33" s="351"/>
      <c r="X33" s="350" t="str">
        <f>+X31</f>
        <v>PmO</v>
      </c>
      <c r="Y33" s="351"/>
      <c r="Z33" s="857"/>
      <c r="AB33" s="854"/>
      <c r="AC33" s="350" t="str">
        <f>AC25</f>
        <v>D</v>
      </c>
      <c r="AD33" s="351"/>
      <c r="AE33" s="350" t="str">
        <f>AE25</f>
        <v>A</v>
      </c>
      <c r="AF33" s="351"/>
      <c r="AG33" s="351"/>
      <c r="AH33" s="350" t="str">
        <f>+AH31</f>
        <v>Um/A</v>
      </c>
      <c r="AI33" s="351"/>
      <c r="AJ33" s="350" t="str">
        <f>+AJ31</f>
        <v>PmO</v>
      </c>
      <c r="AK33" s="351"/>
      <c r="AL33" s="857"/>
      <c r="AN33" s="854"/>
      <c r="AO33" s="350" t="str">
        <f>AO25</f>
        <v>D</v>
      </c>
      <c r="AP33" s="351"/>
      <c r="AQ33" s="350" t="str">
        <f>AQ25</f>
        <v>A</v>
      </c>
      <c r="AR33" s="351"/>
      <c r="AS33" s="351"/>
      <c r="AT33" s="350" t="str">
        <f>+AT31</f>
        <v>Um/A</v>
      </c>
      <c r="AU33" s="351"/>
      <c r="AV33" s="350" t="str">
        <f>+AV31</f>
        <v>PmO</v>
      </c>
      <c r="AW33" s="351"/>
      <c r="AX33" s="857"/>
      <c r="AZ33" s="854"/>
      <c r="BA33" s="350" t="str">
        <f>BA25</f>
        <v xml:space="preserve">C </v>
      </c>
      <c r="BB33" s="351"/>
      <c r="BC33" s="350" t="str">
        <f>BC25</f>
        <v>A</v>
      </c>
      <c r="BD33" s="351"/>
      <c r="BE33" s="351"/>
      <c r="BF33" s="350" t="str">
        <f>+BF31</f>
        <v>Um/A</v>
      </c>
      <c r="BG33" s="351"/>
      <c r="BH33" s="350" t="str">
        <f>+BH31</f>
        <v>CmO</v>
      </c>
      <c r="BI33" s="351"/>
      <c r="BJ33" s="857"/>
      <c r="BL33" s="854"/>
      <c r="BM33" s="350" t="str">
        <f>BM25</f>
        <v xml:space="preserve">B </v>
      </c>
      <c r="BN33" s="351"/>
      <c r="BO33" s="350" t="str">
        <f>BO25</f>
        <v>A</v>
      </c>
      <c r="BP33" s="351"/>
      <c r="BQ33" s="351"/>
      <c r="BR33" s="350" t="str">
        <f>+BR31</f>
        <v>Um/A</v>
      </c>
      <c r="BS33" s="351"/>
      <c r="BT33" s="350" t="str">
        <f>+BT31</f>
        <v>BmO</v>
      </c>
      <c r="BU33" s="351"/>
      <c r="BV33" s="857"/>
    </row>
    <row r="34" spans="2:74" ht="21" x14ac:dyDescent="0.25">
      <c r="B34" s="887"/>
      <c r="C34" s="895"/>
      <c r="D34" s="854"/>
      <c r="E34" s="340">
        <f>+Q34+AC34+AO34</f>
        <v>40776.450000000004</v>
      </c>
      <c r="F34" s="347" t="s">
        <v>44</v>
      </c>
      <c r="G34" s="341">
        <f>'% Occupation'!G19</f>
        <v>1650</v>
      </c>
      <c r="H34" s="347" t="s">
        <v>45</v>
      </c>
      <c r="I34" s="347" t="s">
        <v>46</v>
      </c>
      <c r="J34" s="342">
        <f>+V34+AH34+AT34</f>
        <v>2.2200000000000002</v>
      </c>
      <c r="K34" s="347" t="s">
        <v>45</v>
      </c>
      <c r="L34" s="343">
        <f>E34/G34/J34</f>
        <v>11.131981981981982</v>
      </c>
      <c r="M34" s="347" t="s">
        <v>49</v>
      </c>
      <c r="N34" s="857"/>
      <c r="P34" s="854"/>
      <c r="Q34" s="340">
        <f>+S34*(V34*X34)</f>
        <v>29205.000000000004</v>
      </c>
      <c r="R34" s="347" t="s">
        <v>44</v>
      </c>
      <c r="S34" s="341">
        <f>G34</f>
        <v>1650</v>
      </c>
      <c r="T34" s="347" t="s">
        <v>45</v>
      </c>
      <c r="U34" s="347" t="s">
        <v>46</v>
      </c>
      <c r="V34" s="378">
        <v>1.5</v>
      </c>
      <c r="W34" s="347" t="s">
        <v>45</v>
      </c>
      <c r="X34" s="379">
        <v>11.8</v>
      </c>
      <c r="Y34" s="347" t="s">
        <v>49</v>
      </c>
      <c r="Z34" s="857"/>
      <c r="AB34" s="854"/>
      <c r="AC34" s="340">
        <f>+AE34*(AH34*AJ34)</f>
        <v>10591.349999999999</v>
      </c>
      <c r="AD34" s="347" t="s">
        <v>44</v>
      </c>
      <c r="AE34" s="341">
        <f>S34</f>
        <v>1650</v>
      </c>
      <c r="AF34" s="347" t="s">
        <v>45</v>
      </c>
      <c r="AG34" s="347" t="s">
        <v>46</v>
      </c>
      <c r="AH34" s="378">
        <v>0.7</v>
      </c>
      <c r="AI34" s="347" t="s">
        <v>45</v>
      </c>
      <c r="AJ34" s="379">
        <v>9.17</v>
      </c>
      <c r="AK34" s="347" t="s">
        <v>49</v>
      </c>
      <c r="AL34" s="857"/>
      <c r="AN34" s="854"/>
      <c r="AO34" s="340">
        <f>+AQ34*(AT34*AV34)</f>
        <v>980.09999999999991</v>
      </c>
      <c r="AP34" s="347" t="s">
        <v>44</v>
      </c>
      <c r="AQ34" s="341">
        <f>AE34</f>
        <v>1650</v>
      </c>
      <c r="AR34" s="347" t="s">
        <v>45</v>
      </c>
      <c r="AS34" s="347" t="s">
        <v>46</v>
      </c>
      <c r="AT34" s="378">
        <v>0.02</v>
      </c>
      <c r="AU34" s="347" t="s">
        <v>45</v>
      </c>
      <c r="AV34" s="379">
        <v>29.7</v>
      </c>
      <c r="AW34" s="347" t="s">
        <v>49</v>
      </c>
      <c r="AX34" s="857"/>
      <c r="AZ34" s="854"/>
      <c r="BA34" s="340">
        <f>'État des Résultats'!N14-'État des Résultats'!N45</f>
        <v>35646.65828628459</v>
      </c>
      <c r="BB34" s="347" t="s">
        <v>44</v>
      </c>
      <c r="BC34" s="341">
        <f>G34</f>
        <v>1650</v>
      </c>
      <c r="BD34" s="347" t="s">
        <v>45</v>
      </c>
      <c r="BE34" s="347" t="s">
        <v>46</v>
      </c>
      <c r="BF34" s="342">
        <f>J34</f>
        <v>2.2200000000000002</v>
      </c>
      <c r="BG34" s="347" t="s">
        <v>45</v>
      </c>
      <c r="BH34" s="343">
        <f>BA34/BC34/BF34</f>
        <v>9.7315474437031355</v>
      </c>
      <c r="BI34" s="347" t="s">
        <v>49</v>
      </c>
      <c r="BJ34" s="857"/>
      <c r="BL34" s="854"/>
      <c r="BM34" s="340">
        <f>'État des Résultats'!N45</f>
        <v>5129.7917137154136</v>
      </c>
      <c r="BN34" s="347" t="s">
        <v>44</v>
      </c>
      <c r="BO34" s="341">
        <f>S34</f>
        <v>1650</v>
      </c>
      <c r="BP34" s="347" t="s">
        <v>45</v>
      </c>
      <c r="BQ34" s="347" t="s">
        <v>46</v>
      </c>
      <c r="BR34" s="342">
        <f>J34</f>
        <v>2.2200000000000002</v>
      </c>
      <c r="BS34" s="347" t="s">
        <v>45</v>
      </c>
      <c r="BT34" s="343">
        <f>BM34/BO34/BR34</f>
        <v>1.4004345382788461</v>
      </c>
      <c r="BU34" s="347" t="s">
        <v>49</v>
      </c>
      <c r="BV34" s="857"/>
    </row>
    <row r="35" spans="2:74" ht="17" thickBot="1" x14ac:dyDescent="0.25">
      <c r="B35" s="887"/>
      <c r="C35" s="895"/>
      <c r="D35" s="855"/>
      <c r="E35" s="352"/>
      <c r="F35" s="352"/>
      <c r="G35" s="352"/>
      <c r="H35" s="352"/>
      <c r="I35" s="352"/>
      <c r="J35" s="352"/>
      <c r="K35" s="352"/>
      <c r="L35" s="352"/>
      <c r="M35" s="352"/>
      <c r="N35" s="858"/>
      <c r="P35" s="855"/>
      <c r="Q35" s="352"/>
      <c r="R35" s="352"/>
      <c r="S35" s="352"/>
      <c r="T35" s="352"/>
      <c r="U35" s="352"/>
      <c r="V35" s="352"/>
      <c r="W35" s="352"/>
      <c r="X35" s="352"/>
      <c r="Y35" s="352"/>
      <c r="Z35" s="858"/>
      <c r="AB35" s="855"/>
      <c r="AC35" s="352"/>
      <c r="AD35" s="352"/>
      <c r="AE35" s="352"/>
      <c r="AF35" s="352"/>
      <c r="AG35" s="352"/>
      <c r="AH35" s="352"/>
      <c r="AI35" s="352"/>
      <c r="AJ35" s="352"/>
      <c r="AK35" s="352"/>
      <c r="AL35" s="858"/>
      <c r="AN35" s="855"/>
      <c r="AO35" s="352"/>
      <c r="AP35" s="352"/>
      <c r="AQ35" s="352"/>
      <c r="AR35" s="352"/>
      <c r="AS35" s="352"/>
      <c r="AT35" s="352"/>
      <c r="AU35" s="352"/>
      <c r="AV35" s="352"/>
      <c r="AW35" s="352"/>
      <c r="AX35" s="858"/>
      <c r="AZ35" s="855"/>
      <c r="BA35" s="352"/>
      <c r="BB35" s="352"/>
      <c r="BC35" s="352"/>
      <c r="BD35" s="352"/>
      <c r="BE35" s="352"/>
      <c r="BF35" s="352"/>
      <c r="BG35" s="352"/>
      <c r="BH35" s="352"/>
      <c r="BI35" s="352"/>
      <c r="BJ35" s="858"/>
      <c r="BL35" s="855"/>
      <c r="BM35" s="352"/>
      <c r="BN35" s="352"/>
      <c r="BO35" s="352"/>
      <c r="BP35" s="352"/>
      <c r="BQ35" s="352"/>
      <c r="BR35" s="352"/>
      <c r="BS35" s="352"/>
      <c r="BT35" s="352"/>
      <c r="BU35" s="352"/>
      <c r="BV35" s="858"/>
    </row>
    <row r="36" spans="2:74" ht="5" customHeight="1" thickTop="1" thickBot="1" x14ac:dyDescent="0.2">
      <c r="B36" s="887"/>
      <c r="C36" s="210"/>
    </row>
    <row r="37" spans="2:74" ht="17" thickTop="1" x14ac:dyDescent="0.2">
      <c r="B37" s="887"/>
      <c r="C37" s="895"/>
      <c r="D37" s="853" t="s">
        <v>42</v>
      </c>
      <c r="E37" s="345"/>
      <c r="F37" s="345"/>
      <c r="G37" s="345"/>
      <c r="H37" s="345"/>
      <c r="I37" s="345"/>
      <c r="J37" s="345"/>
      <c r="K37" s="345"/>
      <c r="L37" s="345"/>
      <c r="M37" s="345"/>
      <c r="N37" s="856" t="s">
        <v>43</v>
      </c>
      <c r="P37" s="853" t="s">
        <v>42</v>
      </c>
      <c r="Q37" s="345"/>
      <c r="R37" s="345"/>
      <c r="S37" s="345"/>
      <c r="T37" s="345"/>
      <c r="U37" s="345"/>
      <c r="V37" s="345"/>
      <c r="W37" s="345"/>
      <c r="X37" s="345"/>
      <c r="Y37" s="345"/>
      <c r="Z37" s="856" t="s">
        <v>43</v>
      </c>
      <c r="AB37" s="853" t="s">
        <v>42</v>
      </c>
      <c r="AC37" s="345"/>
      <c r="AD37" s="345"/>
      <c r="AE37" s="345"/>
      <c r="AF37" s="345"/>
      <c r="AG37" s="345"/>
      <c r="AH37" s="345"/>
      <c r="AI37" s="345"/>
      <c r="AJ37" s="345"/>
      <c r="AK37" s="345"/>
      <c r="AL37" s="856" t="s">
        <v>43</v>
      </c>
      <c r="AN37" s="853" t="s">
        <v>42</v>
      </c>
      <c r="AO37" s="345"/>
      <c r="AP37" s="345"/>
      <c r="AQ37" s="345"/>
      <c r="AR37" s="345"/>
      <c r="AS37" s="345"/>
      <c r="AT37" s="345"/>
      <c r="AU37" s="345"/>
      <c r="AV37" s="345"/>
      <c r="AW37" s="345"/>
      <c r="AX37" s="856" t="s">
        <v>43</v>
      </c>
      <c r="AZ37" s="853" t="s">
        <v>42</v>
      </c>
      <c r="BA37" s="345"/>
      <c r="BB37" s="345"/>
      <c r="BC37" s="345"/>
      <c r="BD37" s="345"/>
      <c r="BE37" s="345"/>
      <c r="BF37" s="345"/>
      <c r="BG37" s="345"/>
      <c r="BH37" s="345"/>
      <c r="BI37" s="345"/>
      <c r="BJ37" s="856" t="s">
        <v>43</v>
      </c>
      <c r="BL37" s="853" t="s">
        <v>42</v>
      </c>
      <c r="BM37" s="345"/>
      <c r="BN37" s="345"/>
      <c r="BO37" s="345"/>
      <c r="BP37" s="345"/>
      <c r="BQ37" s="345"/>
      <c r="BR37" s="345"/>
      <c r="BS37" s="345"/>
      <c r="BT37" s="345"/>
      <c r="BU37" s="345"/>
      <c r="BV37" s="856" t="s">
        <v>43</v>
      </c>
    </row>
    <row r="38" spans="2:74" ht="16" x14ac:dyDescent="0.2">
      <c r="B38" s="887"/>
      <c r="C38" s="895"/>
      <c r="D38" s="854"/>
      <c r="E38" s="346"/>
      <c r="F38" s="346"/>
      <c r="G38" s="346"/>
      <c r="H38" s="346"/>
      <c r="I38" s="346"/>
      <c r="J38" s="346"/>
      <c r="K38" s="346"/>
      <c r="L38" s="346"/>
      <c r="M38" s="346"/>
      <c r="N38" s="857"/>
      <c r="P38" s="854"/>
      <c r="Q38" s="346"/>
      <c r="R38" s="346"/>
      <c r="S38" s="346"/>
      <c r="T38" s="346"/>
      <c r="U38" s="346"/>
      <c r="V38" s="346"/>
      <c r="W38" s="346"/>
      <c r="X38" s="346"/>
      <c r="Y38" s="346"/>
      <c r="Z38" s="857"/>
      <c r="AB38" s="854"/>
      <c r="AC38" s="346"/>
      <c r="AD38" s="346"/>
      <c r="AE38" s="346"/>
      <c r="AF38" s="346"/>
      <c r="AG38" s="346"/>
      <c r="AH38" s="346"/>
      <c r="AI38" s="346"/>
      <c r="AJ38" s="346"/>
      <c r="AK38" s="346"/>
      <c r="AL38" s="857"/>
      <c r="AN38" s="854"/>
      <c r="AO38" s="346"/>
      <c r="AP38" s="346"/>
      <c r="AQ38" s="346"/>
      <c r="AR38" s="346"/>
      <c r="AS38" s="346"/>
      <c r="AT38" s="346"/>
      <c r="AU38" s="346"/>
      <c r="AV38" s="346"/>
      <c r="AW38" s="346"/>
      <c r="AX38" s="857"/>
      <c r="AZ38" s="854"/>
      <c r="BA38" s="346"/>
      <c r="BB38" s="346"/>
      <c r="BC38" s="346"/>
      <c r="BD38" s="346"/>
      <c r="BE38" s="346"/>
      <c r="BF38" s="346"/>
      <c r="BG38" s="346"/>
      <c r="BH38" s="346"/>
      <c r="BI38" s="346"/>
      <c r="BJ38" s="857"/>
      <c r="BL38" s="854"/>
      <c r="BM38" s="346"/>
      <c r="BN38" s="346"/>
      <c r="BO38" s="346"/>
      <c r="BP38" s="346"/>
      <c r="BQ38" s="346"/>
      <c r="BR38" s="346"/>
      <c r="BS38" s="346"/>
      <c r="BT38" s="346"/>
      <c r="BU38" s="346"/>
      <c r="BV38" s="857"/>
    </row>
    <row r="39" spans="2:74" ht="21" x14ac:dyDescent="0.25">
      <c r="B39" s="887"/>
      <c r="C39" s="895"/>
      <c r="D39" s="854"/>
      <c r="E39" s="347" t="str">
        <f>E31</f>
        <v>Demande mensuelle</v>
      </c>
      <c r="F39" s="347" t="s">
        <v>44</v>
      </c>
      <c r="G39" s="347" t="str">
        <f>G31</f>
        <v>Achalandage mensuel</v>
      </c>
      <c r="H39" s="347" t="s">
        <v>45</v>
      </c>
      <c r="I39" s="347" t="s">
        <v>46</v>
      </c>
      <c r="J39" s="347" t="str">
        <f>J31</f>
        <v>Um/A</v>
      </c>
      <c r="K39" s="347" t="s">
        <v>45</v>
      </c>
      <c r="L39" s="347" t="str">
        <f>L31</f>
        <v>PmO</v>
      </c>
      <c r="M39" s="347" t="s">
        <v>49</v>
      </c>
      <c r="N39" s="857"/>
      <c r="P39" s="854"/>
      <c r="Q39" s="347" t="str">
        <f>Q31</f>
        <v>Demande mensuelle</v>
      </c>
      <c r="R39" s="347" t="s">
        <v>44</v>
      </c>
      <c r="S39" s="347" t="str">
        <f>S31</f>
        <v>Achalandage mensuel</v>
      </c>
      <c r="T39" s="347" t="s">
        <v>45</v>
      </c>
      <c r="U39" s="347" t="s">
        <v>46</v>
      </c>
      <c r="V39" s="347" t="str">
        <f>V31</f>
        <v>Um/A</v>
      </c>
      <c r="W39" s="347" t="s">
        <v>45</v>
      </c>
      <c r="X39" s="347" t="str">
        <f>X31</f>
        <v>PmO</v>
      </c>
      <c r="Y39" s="347" t="s">
        <v>49</v>
      </c>
      <c r="Z39" s="857"/>
      <c r="AB39" s="854"/>
      <c r="AC39" s="347" t="str">
        <f>AC31</f>
        <v>Demande mensuelle</v>
      </c>
      <c r="AD39" s="347" t="s">
        <v>44</v>
      </c>
      <c r="AE39" s="347" t="str">
        <f>AE31</f>
        <v>Achalandage mensuel</v>
      </c>
      <c r="AF39" s="347" t="s">
        <v>45</v>
      </c>
      <c r="AG39" s="347" t="s">
        <v>46</v>
      </c>
      <c r="AH39" s="347" t="str">
        <f>AH31</f>
        <v>Um/A</v>
      </c>
      <c r="AI39" s="347" t="s">
        <v>45</v>
      </c>
      <c r="AJ39" s="347" t="str">
        <f>AJ31</f>
        <v>PmO</v>
      </c>
      <c r="AK39" s="347" t="s">
        <v>49</v>
      </c>
      <c r="AL39" s="857"/>
      <c r="AN39" s="854"/>
      <c r="AO39" s="347" t="str">
        <f>AO31</f>
        <v>Demande mensuelle</v>
      </c>
      <c r="AP39" s="347" t="s">
        <v>44</v>
      </c>
      <c r="AQ39" s="347" t="str">
        <f>AQ31</f>
        <v>Achalandage mensuel</v>
      </c>
      <c r="AR39" s="347" t="s">
        <v>45</v>
      </c>
      <c r="AS39" s="347" t="s">
        <v>46</v>
      </c>
      <c r="AT39" s="347" t="str">
        <f>AT31</f>
        <v>Um/A</v>
      </c>
      <c r="AU39" s="347" t="s">
        <v>45</v>
      </c>
      <c r="AV39" s="347" t="str">
        <f>AV31</f>
        <v>PmO</v>
      </c>
      <c r="AW39" s="347" t="s">
        <v>49</v>
      </c>
      <c r="AX39" s="857"/>
      <c r="AZ39" s="854"/>
      <c r="BA39" s="347" t="str">
        <f>BA31</f>
        <v>Coût mensuel</v>
      </c>
      <c r="BB39" s="347" t="s">
        <v>44</v>
      </c>
      <c r="BC39" s="347" t="str">
        <f>BC31</f>
        <v>Achalandage mensuel</v>
      </c>
      <c r="BD39" s="347" t="s">
        <v>45</v>
      </c>
      <c r="BE39" s="347" t="s">
        <v>46</v>
      </c>
      <c r="BF39" s="347" t="str">
        <f>BF31</f>
        <v>Um/A</v>
      </c>
      <c r="BG39" s="347" t="s">
        <v>45</v>
      </c>
      <c r="BH39" s="347" t="str">
        <f>BH31</f>
        <v>CmO</v>
      </c>
      <c r="BI39" s="347" t="s">
        <v>49</v>
      </c>
      <c r="BJ39" s="857"/>
      <c r="BL39" s="854"/>
      <c r="BM39" s="347" t="str">
        <f>BM31</f>
        <v>Bénéfice mensuel</v>
      </c>
      <c r="BN39" s="347" t="s">
        <v>44</v>
      </c>
      <c r="BO39" s="347" t="str">
        <f>BO31</f>
        <v>Achalandage mensuel</v>
      </c>
      <c r="BP39" s="347" t="s">
        <v>45</v>
      </c>
      <c r="BQ39" s="347" t="s">
        <v>46</v>
      </c>
      <c r="BR39" s="347" t="str">
        <f>BR31</f>
        <v>Um/A</v>
      </c>
      <c r="BS39" s="347" t="s">
        <v>45</v>
      </c>
      <c r="BT39" s="347" t="str">
        <f>BT31</f>
        <v>BmO</v>
      </c>
      <c r="BU39" s="347" t="s">
        <v>49</v>
      </c>
      <c r="BV39" s="857"/>
    </row>
    <row r="40" spans="2:74" ht="19" x14ac:dyDescent="0.25">
      <c r="B40" s="887"/>
      <c r="C40" s="895"/>
      <c r="D40" s="854"/>
      <c r="E40" s="348" t="s">
        <v>2</v>
      </c>
      <c r="F40" s="349"/>
      <c r="G40" s="348"/>
      <c r="H40" s="349"/>
      <c r="I40" s="349"/>
      <c r="J40" s="349"/>
      <c r="K40" s="349"/>
      <c r="L40" s="349"/>
      <c r="M40" s="349"/>
      <c r="N40" s="857"/>
      <c r="P40" s="854"/>
      <c r="Q40" s="348" t="s">
        <v>2</v>
      </c>
      <c r="R40" s="349"/>
      <c r="S40" s="348"/>
      <c r="T40" s="349"/>
      <c r="U40" s="349"/>
      <c r="V40" s="349"/>
      <c r="W40" s="349"/>
      <c r="X40" s="349"/>
      <c r="Y40" s="349"/>
      <c r="Z40" s="857"/>
      <c r="AB40" s="854"/>
      <c r="AC40" s="348" t="s">
        <v>2</v>
      </c>
      <c r="AD40" s="349"/>
      <c r="AE40" s="348"/>
      <c r="AF40" s="349"/>
      <c r="AG40" s="349"/>
      <c r="AH40" s="349"/>
      <c r="AI40" s="349"/>
      <c r="AJ40" s="349"/>
      <c r="AK40" s="349"/>
      <c r="AL40" s="857"/>
      <c r="AN40" s="854"/>
      <c r="AO40" s="348" t="s">
        <v>2</v>
      </c>
      <c r="AP40" s="349"/>
      <c r="AQ40" s="348"/>
      <c r="AR40" s="349"/>
      <c r="AS40" s="349"/>
      <c r="AT40" s="349"/>
      <c r="AU40" s="349"/>
      <c r="AV40" s="349"/>
      <c r="AW40" s="349"/>
      <c r="AX40" s="857"/>
      <c r="AZ40" s="854"/>
      <c r="BA40" s="348" t="s">
        <v>2</v>
      </c>
      <c r="BB40" s="349"/>
      <c r="BC40" s="348"/>
      <c r="BD40" s="349"/>
      <c r="BE40" s="349"/>
      <c r="BF40" s="349"/>
      <c r="BG40" s="349"/>
      <c r="BH40" s="349"/>
      <c r="BI40" s="349"/>
      <c r="BJ40" s="857"/>
      <c r="BL40" s="854"/>
      <c r="BM40" s="348" t="s">
        <v>2</v>
      </c>
      <c r="BN40" s="349"/>
      <c r="BO40" s="348"/>
      <c r="BP40" s="349"/>
      <c r="BQ40" s="349"/>
      <c r="BR40" s="349"/>
      <c r="BS40" s="349"/>
      <c r="BT40" s="349"/>
      <c r="BU40" s="349"/>
      <c r="BV40" s="857"/>
    </row>
    <row r="41" spans="2:74" ht="26" x14ac:dyDescent="0.3">
      <c r="B41" s="887"/>
      <c r="C41" s="895"/>
      <c r="D41" s="854"/>
      <c r="E41" s="350" t="str">
        <f>E33</f>
        <v>D</v>
      </c>
      <c r="F41" s="351"/>
      <c r="G41" s="350" t="str">
        <f>G33</f>
        <v>A</v>
      </c>
      <c r="H41" s="351"/>
      <c r="I41" s="351"/>
      <c r="J41" s="350" t="str">
        <f>+J39</f>
        <v>Um/A</v>
      </c>
      <c r="K41" s="351"/>
      <c r="L41" s="350" t="str">
        <f>+L39</f>
        <v>PmO</v>
      </c>
      <c r="M41" s="351"/>
      <c r="N41" s="857"/>
      <c r="P41" s="854"/>
      <c r="Q41" s="350" t="str">
        <f>Q33</f>
        <v>D</v>
      </c>
      <c r="R41" s="351"/>
      <c r="S41" s="350" t="str">
        <f>S33</f>
        <v>A</v>
      </c>
      <c r="T41" s="351"/>
      <c r="U41" s="351"/>
      <c r="V41" s="350" t="str">
        <f>+V39</f>
        <v>Um/A</v>
      </c>
      <c r="W41" s="351"/>
      <c r="X41" s="350" t="str">
        <f>+X39</f>
        <v>PmO</v>
      </c>
      <c r="Y41" s="351"/>
      <c r="Z41" s="857"/>
      <c r="AB41" s="854"/>
      <c r="AC41" s="350" t="str">
        <f>AC33</f>
        <v>D</v>
      </c>
      <c r="AD41" s="351"/>
      <c r="AE41" s="350" t="str">
        <f>AE33</f>
        <v>A</v>
      </c>
      <c r="AF41" s="351"/>
      <c r="AG41" s="351"/>
      <c r="AH41" s="350" t="str">
        <f>+AH39</f>
        <v>Um/A</v>
      </c>
      <c r="AI41" s="351"/>
      <c r="AJ41" s="350" t="str">
        <f>+AJ39</f>
        <v>PmO</v>
      </c>
      <c r="AK41" s="351"/>
      <c r="AL41" s="857"/>
      <c r="AN41" s="854"/>
      <c r="AO41" s="350" t="str">
        <f>AO33</f>
        <v>D</v>
      </c>
      <c r="AP41" s="351"/>
      <c r="AQ41" s="350" t="str">
        <f>AQ33</f>
        <v>A</v>
      </c>
      <c r="AR41" s="351"/>
      <c r="AS41" s="351"/>
      <c r="AT41" s="350" t="str">
        <f>+AT39</f>
        <v>Um/A</v>
      </c>
      <c r="AU41" s="351"/>
      <c r="AV41" s="350" t="str">
        <f>+AV39</f>
        <v>PmO</v>
      </c>
      <c r="AW41" s="351"/>
      <c r="AX41" s="857"/>
      <c r="AZ41" s="854"/>
      <c r="BA41" s="350" t="str">
        <f>BA33</f>
        <v xml:space="preserve">C </v>
      </c>
      <c r="BB41" s="351"/>
      <c r="BC41" s="350" t="str">
        <f>BC33</f>
        <v>A</v>
      </c>
      <c r="BD41" s="351"/>
      <c r="BE41" s="351"/>
      <c r="BF41" s="350" t="str">
        <f>+BF39</f>
        <v>Um/A</v>
      </c>
      <c r="BG41" s="351"/>
      <c r="BH41" s="350" t="str">
        <f>+BH39</f>
        <v>CmO</v>
      </c>
      <c r="BI41" s="351"/>
      <c r="BJ41" s="857"/>
      <c r="BL41" s="854"/>
      <c r="BM41" s="350" t="str">
        <f>BM33</f>
        <v xml:space="preserve">B </v>
      </c>
      <c r="BN41" s="351"/>
      <c r="BO41" s="350" t="str">
        <f>BO33</f>
        <v>A</v>
      </c>
      <c r="BP41" s="351"/>
      <c r="BQ41" s="351"/>
      <c r="BR41" s="350" t="str">
        <f>+BR39</f>
        <v>Um/A</v>
      </c>
      <c r="BS41" s="351"/>
      <c r="BT41" s="350" t="str">
        <f>+BT39</f>
        <v>BmO</v>
      </c>
      <c r="BU41" s="351"/>
      <c r="BV41" s="857"/>
    </row>
    <row r="42" spans="2:74" ht="21" x14ac:dyDescent="0.25">
      <c r="B42" s="887"/>
      <c r="C42" s="895"/>
      <c r="D42" s="854"/>
      <c r="E42" s="340">
        <f>+Q42+AC42+AO42</f>
        <v>45966.180000000008</v>
      </c>
      <c r="F42" s="347" t="s">
        <v>44</v>
      </c>
      <c r="G42" s="341">
        <f>'% Occupation'!H19</f>
        <v>1860</v>
      </c>
      <c r="H42" s="347" t="s">
        <v>45</v>
      </c>
      <c r="I42" s="347" t="s">
        <v>46</v>
      </c>
      <c r="J42" s="342">
        <f>+V42+AH42+AT42</f>
        <v>2.2200000000000002</v>
      </c>
      <c r="K42" s="347" t="s">
        <v>45</v>
      </c>
      <c r="L42" s="343">
        <f>E42/G42/J42</f>
        <v>11.131981981981983</v>
      </c>
      <c r="M42" s="347" t="s">
        <v>49</v>
      </c>
      <c r="N42" s="857"/>
      <c r="P42" s="854"/>
      <c r="Q42" s="340">
        <f>+S42*(V42*X42)</f>
        <v>32922.000000000007</v>
      </c>
      <c r="R42" s="347" t="s">
        <v>44</v>
      </c>
      <c r="S42" s="341">
        <f>G42</f>
        <v>1860</v>
      </c>
      <c r="T42" s="347" t="s">
        <v>45</v>
      </c>
      <c r="U42" s="347" t="s">
        <v>46</v>
      </c>
      <c r="V42" s="378">
        <v>1.5</v>
      </c>
      <c r="W42" s="347" t="s">
        <v>45</v>
      </c>
      <c r="X42" s="379">
        <v>11.8</v>
      </c>
      <c r="Y42" s="347" t="s">
        <v>49</v>
      </c>
      <c r="Z42" s="857"/>
      <c r="AB42" s="854"/>
      <c r="AC42" s="340">
        <f>+AE42*(AH42*AJ42)</f>
        <v>11939.34</v>
      </c>
      <c r="AD42" s="347" t="s">
        <v>44</v>
      </c>
      <c r="AE42" s="341">
        <f>S42</f>
        <v>1860</v>
      </c>
      <c r="AF42" s="347" t="s">
        <v>45</v>
      </c>
      <c r="AG42" s="347" t="s">
        <v>46</v>
      </c>
      <c r="AH42" s="378">
        <v>0.7</v>
      </c>
      <c r="AI42" s="347" t="s">
        <v>45</v>
      </c>
      <c r="AJ42" s="379">
        <v>9.17</v>
      </c>
      <c r="AK42" s="347" t="s">
        <v>49</v>
      </c>
      <c r="AL42" s="857"/>
      <c r="AN42" s="854"/>
      <c r="AO42" s="340">
        <f>+AQ42*(AT42*AV42)</f>
        <v>1104.8399999999999</v>
      </c>
      <c r="AP42" s="347" t="s">
        <v>44</v>
      </c>
      <c r="AQ42" s="341">
        <f>AE42</f>
        <v>1860</v>
      </c>
      <c r="AR42" s="347" t="s">
        <v>45</v>
      </c>
      <c r="AS42" s="347" t="s">
        <v>46</v>
      </c>
      <c r="AT42" s="378">
        <v>0.02</v>
      </c>
      <c r="AU42" s="347" t="s">
        <v>45</v>
      </c>
      <c r="AV42" s="379">
        <v>29.7</v>
      </c>
      <c r="AW42" s="347" t="s">
        <v>49</v>
      </c>
      <c r="AX42" s="857"/>
      <c r="AZ42" s="854"/>
      <c r="BA42" s="340">
        <f>'État des Résultats'!Q14-'État des Résultats'!Q45</f>
        <v>38199.448613629909</v>
      </c>
      <c r="BB42" s="347" t="s">
        <v>44</v>
      </c>
      <c r="BC42" s="341">
        <f>G42</f>
        <v>1860</v>
      </c>
      <c r="BD42" s="347" t="s">
        <v>45</v>
      </c>
      <c r="BE42" s="347" t="s">
        <v>46</v>
      </c>
      <c r="BF42" s="342">
        <f>J42</f>
        <v>2.2200000000000002</v>
      </c>
      <c r="BG42" s="347" t="s">
        <v>45</v>
      </c>
      <c r="BH42" s="343">
        <f>BA42/BC42/BF42</f>
        <v>9.2510531370797988</v>
      </c>
      <c r="BI42" s="347" t="s">
        <v>49</v>
      </c>
      <c r="BJ42" s="857"/>
      <c r="BL42" s="854"/>
      <c r="BM42" s="340">
        <f>'État des Résultats'!Q45</f>
        <v>7766.731386370102</v>
      </c>
      <c r="BN42" s="347" t="s">
        <v>44</v>
      </c>
      <c r="BO42" s="341">
        <f>S42</f>
        <v>1860</v>
      </c>
      <c r="BP42" s="347" t="s">
        <v>45</v>
      </c>
      <c r="BQ42" s="347" t="s">
        <v>46</v>
      </c>
      <c r="BR42" s="342">
        <f>J42</f>
        <v>2.2200000000000002</v>
      </c>
      <c r="BS42" s="347" t="s">
        <v>45</v>
      </c>
      <c r="BT42" s="343">
        <f>BM42/BO42/BR42</f>
        <v>1.8809288449021848</v>
      </c>
      <c r="BU42" s="347" t="s">
        <v>49</v>
      </c>
      <c r="BV42" s="857"/>
    </row>
    <row r="43" spans="2:74" ht="17" thickBot="1" x14ac:dyDescent="0.25">
      <c r="B43" s="887"/>
      <c r="C43" s="895"/>
      <c r="D43" s="855"/>
      <c r="E43" s="352"/>
      <c r="F43" s="352"/>
      <c r="G43" s="352"/>
      <c r="H43" s="352"/>
      <c r="I43" s="352"/>
      <c r="J43" s="352"/>
      <c r="K43" s="352"/>
      <c r="L43" s="352"/>
      <c r="M43" s="352"/>
      <c r="N43" s="858"/>
      <c r="P43" s="855"/>
      <c r="Q43" s="352"/>
      <c r="R43" s="352"/>
      <c r="S43" s="352"/>
      <c r="T43" s="352"/>
      <c r="U43" s="352"/>
      <c r="V43" s="352"/>
      <c r="W43" s="352"/>
      <c r="X43" s="352"/>
      <c r="Y43" s="352"/>
      <c r="Z43" s="858"/>
      <c r="AB43" s="855"/>
      <c r="AC43" s="352"/>
      <c r="AD43" s="352"/>
      <c r="AE43" s="352"/>
      <c r="AF43" s="352"/>
      <c r="AG43" s="352"/>
      <c r="AH43" s="352"/>
      <c r="AI43" s="352"/>
      <c r="AJ43" s="352"/>
      <c r="AK43" s="352"/>
      <c r="AL43" s="858"/>
      <c r="AN43" s="855"/>
      <c r="AO43" s="352"/>
      <c r="AP43" s="352"/>
      <c r="AQ43" s="352"/>
      <c r="AR43" s="352"/>
      <c r="AS43" s="352"/>
      <c r="AT43" s="352"/>
      <c r="AU43" s="352"/>
      <c r="AV43" s="352"/>
      <c r="AW43" s="352"/>
      <c r="AX43" s="858"/>
      <c r="AZ43" s="855"/>
      <c r="BA43" s="352"/>
      <c r="BB43" s="352"/>
      <c r="BC43" s="352"/>
      <c r="BD43" s="352"/>
      <c r="BE43" s="352"/>
      <c r="BF43" s="352"/>
      <c r="BG43" s="352"/>
      <c r="BH43" s="352"/>
      <c r="BI43" s="352"/>
      <c r="BJ43" s="858"/>
      <c r="BL43" s="855"/>
      <c r="BM43" s="352"/>
      <c r="BN43" s="352"/>
      <c r="BO43" s="352"/>
      <c r="BP43" s="352"/>
      <c r="BQ43" s="352"/>
      <c r="BR43" s="352"/>
      <c r="BS43" s="352"/>
      <c r="BT43" s="352"/>
      <c r="BU43" s="352"/>
      <c r="BV43" s="858"/>
    </row>
    <row r="44" spans="2:74" ht="5" customHeight="1" thickTop="1" thickBot="1" x14ac:dyDescent="0.2">
      <c r="B44" s="887"/>
      <c r="C44" s="210"/>
    </row>
    <row r="45" spans="2:74" ht="17" thickTop="1" x14ac:dyDescent="0.2">
      <c r="B45" s="887"/>
      <c r="C45" s="895"/>
      <c r="D45" s="853" t="s">
        <v>42</v>
      </c>
      <c r="E45" s="345"/>
      <c r="F45" s="345"/>
      <c r="G45" s="345"/>
      <c r="H45" s="345"/>
      <c r="I45" s="345"/>
      <c r="J45" s="345"/>
      <c r="K45" s="345"/>
      <c r="L45" s="345"/>
      <c r="M45" s="345"/>
      <c r="N45" s="856" t="s">
        <v>43</v>
      </c>
      <c r="P45" s="853" t="s">
        <v>42</v>
      </c>
      <c r="Q45" s="345"/>
      <c r="R45" s="345"/>
      <c r="S45" s="345"/>
      <c r="T45" s="345"/>
      <c r="U45" s="345"/>
      <c r="V45" s="345"/>
      <c r="W45" s="345"/>
      <c r="X45" s="345"/>
      <c r="Y45" s="345"/>
      <c r="Z45" s="856" t="s">
        <v>43</v>
      </c>
      <c r="AB45" s="853" t="s">
        <v>42</v>
      </c>
      <c r="AC45" s="345"/>
      <c r="AD45" s="345"/>
      <c r="AE45" s="345"/>
      <c r="AF45" s="345"/>
      <c r="AG45" s="345"/>
      <c r="AH45" s="345"/>
      <c r="AI45" s="345"/>
      <c r="AJ45" s="345"/>
      <c r="AK45" s="345"/>
      <c r="AL45" s="856" t="s">
        <v>43</v>
      </c>
      <c r="AN45" s="853" t="s">
        <v>42</v>
      </c>
      <c r="AO45" s="345"/>
      <c r="AP45" s="345"/>
      <c r="AQ45" s="345"/>
      <c r="AR45" s="345"/>
      <c r="AS45" s="345"/>
      <c r="AT45" s="345"/>
      <c r="AU45" s="345"/>
      <c r="AV45" s="345"/>
      <c r="AW45" s="345"/>
      <c r="AX45" s="856" t="s">
        <v>43</v>
      </c>
      <c r="AZ45" s="853" t="s">
        <v>42</v>
      </c>
      <c r="BA45" s="345"/>
      <c r="BB45" s="345"/>
      <c r="BC45" s="345"/>
      <c r="BD45" s="345"/>
      <c r="BE45" s="345"/>
      <c r="BF45" s="345"/>
      <c r="BG45" s="345"/>
      <c r="BH45" s="345"/>
      <c r="BI45" s="345"/>
      <c r="BJ45" s="856" t="s">
        <v>43</v>
      </c>
      <c r="BL45" s="853" t="s">
        <v>42</v>
      </c>
      <c r="BM45" s="345"/>
      <c r="BN45" s="345"/>
      <c r="BO45" s="345"/>
      <c r="BP45" s="345"/>
      <c r="BQ45" s="345"/>
      <c r="BR45" s="345"/>
      <c r="BS45" s="345"/>
      <c r="BT45" s="345"/>
      <c r="BU45" s="345"/>
      <c r="BV45" s="856" t="s">
        <v>43</v>
      </c>
    </row>
    <row r="46" spans="2:74" ht="16" x14ac:dyDescent="0.2">
      <c r="B46" s="887"/>
      <c r="C46" s="895"/>
      <c r="D46" s="854"/>
      <c r="E46" s="346"/>
      <c r="F46" s="346"/>
      <c r="G46" s="346"/>
      <c r="H46" s="346"/>
      <c r="I46" s="346"/>
      <c r="J46" s="346"/>
      <c r="K46" s="346"/>
      <c r="L46" s="346"/>
      <c r="M46" s="346"/>
      <c r="N46" s="857"/>
      <c r="P46" s="854"/>
      <c r="Q46" s="346"/>
      <c r="R46" s="346"/>
      <c r="S46" s="346"/>
      <c r="T46" s="346"/>
      <c r="U46" s="346"/>
      <c r="V46" s="346"/>
      <c r="W46" s="346"/>
      <c r="X46" s="346"/>
      <c r="Y46" s="346"/>
      <c r="Z46" s="857"/>
      <c r="AB46" s="854"/>
      <c r="AC46" s="346"/>
      <c r="AD46" s="346"/>
      <c r="AE46" s="346"/>
      <c r="AF46" s="346"/>
      <c r="AG46" s="346"/>
      <c r="AH46" s="346"/>
      <c r="AI46" s="346"/>
      <c r="AJ46" s="346"/>
      <c r="AK46" s="346"/>
      <c r="AL46" s="857"/>
      <c r="AN46" s="854"/>
      <c r="AO46" s="346"/>
      <c r="AP46" s="346"/>
      <c r="AQ46" s="346"/>
      <c r="AR46" s="346"/>
      <c r="AS46" s="346"/>
      <c r="AT46" s="346"/>
      <c r="AU46" s="346"/>
      <c r="AV46" s="346"/>
      <c r="AW46" s="346"/>
      <c r="AX46" s="857"/>
      <c r="AZ46" s="854"/>
      <c r="BA46" s="346"/>
      <c r="BB46" s="346"/>
      <c r="BC46" s="346"/>
      <c r="BD46" s="346"/>
      <c r="BE46" s="346"/>
      <c r="BF46" s="346"/>
      <c r="BG46" s="346"/>
      <c r="BH46" s="346"/>
      <c r="BI46" s="346"/>
      <c r="BJ46" s="857"/>
      <c r="BL46" s="854"/>
      <c r="BM46" s="346"/>
      <c r="BN46" s="346"/>
      <c r="BO46" s="346"/>
      <c r="BP46" s="346"/>
      <c r="BQ46" s="346"/>
      <c r="BR46" s="346"/>
      <c r="BS46" s="346"/>
      <c r="BT46" s="346"/>
      <c r="BU46" s="346"/>
      <c r="BV46" s="857"/>
    </row>
    <row r="47" spans="2:74" ht="21" x14ac:dyDescent="0.25">
      <c r="B47" s="887"/>
      <c r="C47" s="895"/>
      <c r="D47" s="854"/>
      <c r="E47" s="347" t="str">
        <f>E39</f>
        <v>Demande mensuelle</v>
      </c>
      <c r="F47" s="347" t="s">
        <v>44</v>
      </c>
      <c r="G47" s="347" t="str">
        <f>G39</f>
        <v>Achalandage mensuel</v>
      </c>
      <c r="H47" s="347" t="s">
        <v>45</v>
      </c>
      <c r="I47" s="347" t="s">
        <v>46</v>
      </c>
      <c r="J47" s="347" t="str">
        <f>J39</f>
        <v>Um/A</v>
      </c>
      <c r="K47" s="347" t="s">
        <v>45</v>
      </c>
      <c r="L47" s="347" t="str">
        <f>L39</f>
        <v>PmO</v>
      </c>
      <c r="M47" s="347" t="s">
        <v>49</v>
      </c>
      <c r="N47" s="857"/>
      <c r="P47" s="854"/>
      <c r="Q47" s="347" t="str">
        <f>Q39</f>
        <v>Demande mensuelle</v>
      </c>
      <c r="R47" s="347" t="s">
        <v>44</v>
      </c>
      <c r="S47" s="347" t="str">
        <f>S39</f>
        <v>Achalandage mensuel</v>
      </c>
      <c r="T47" s="347" t="s">
        <v>45</v>
      </c>
      <c r="U47" s="347" t="s">
        <v>46</v>
      </c>
      <c r="V47" s="347" t="str">
        <f>V39</f>
        <v>Um/A</v>
      </c>
      <c r="W47" s="347" t="s">
        <v>45</v>
      </c>
      <c r="X47" s="347" t="str">
        <f>X39</f>
        <v>PmO</v>
      </c>
      <c r="Y47" s="347" t="s">
        <v>49</v>
      </c>
      <c r="Z47" s="857"/>
      <c r="AB47" s="854"/>
      <c r="AC47" s="347" t="str">
        <f>AC39</f>
        <v>Demande mensuelle</v>
      </c>
      <c r="AD47" s="347" t="s">
        <v>44</v>
      </c>
      <c r="AE47" s="347" t="str">
        <f>AE39</f>
        <v>Achalandage mensuel</v>
      </c>
      <c r="AF47" s="347" t="s">
        <v>45</v>
      </c>
      <c r="AG47" s="347" t="s">
        <v>46</v>
      </c>
      <c r="AH47" s="347" t="str">
        <f>AH39</f>
        <v>Um/A</v>
      </c>
      <c r="AI47" s="347" t="s">
        <v>45</v>
      </c>
      <c r="AJ47" s="347" t="str">
        <f>AJ39</f>
        <v>PmO</v>
      </c>
      <c r="AK47" s="347" t="s">
        <v>49</v>
      </c>
      <c r="AL47" s="857"/>
      <c r="AN47" s="854"/>
      <c r="AO47" s="347" t="str">
        <f>AO39</f>
        <v>Demande mensuelle</v>
      </c>
      <c r="AP47" s="347" t="s">
        <v>44</v>
      </c>
      <c r="AQ47" s="347" t="str">
        <f>AQ39</f>
        <v>Achalandage mensuel</v>
      </c>
      <c r="AR47" s="347" t="s">
        <v>45</v>
      </c>
      <c r="AS47" s="347" t="s">
        <v>46</v>
      </c>
      <c r="AT47" s="347" t="str">
        <f>AT39</f>
        <v>Um/A</v>
      </c>
      <c r="AU47" s="347" t="s">
        <v>45</v>
      </c>
      <c r="AV47" s="347" t="str">
        <f>AV39</f>
        <v>PmO</v>
      </c>
      <c r="AW47" s="347" t="s">
        <v>49</v>
      </c>
      <c r="AX47" s="857"/>
      <c r="AZ47" s="854"/>
      <c r="BA47" s="347" t="str">
        <f>BA39</f>
        <v>Coût mensuel</v>
      </c>
      <c r="BB47" s="347" t="s">
        <v>44</v>
      </c>
      <c r="BC47" s="347" t="str">
        <f>BC39</f>
        <v>Achalandage mensuel</v>
      </c>
      <c r="BD47" s="347" t="s">
        <v>45</v>
      </c>
      <c r="BE47" s="347" t="s">
        <v>46</v>
      </c>
      <c r="BF47" s="347" t="str">
        <f>BF39</f>
        <v>Um/A</v>
      </c>
      <c r="BG47" s="347" t="s">
        <v>45</v>
      </c>
      <c r="BH47" s="347" t="str">
        <f>BH39</f>
        <v>CmO</v>
      </c>
      <c r="BI47" s="347" t="s">
        <v>49</v>
      </c>
      <c r="BJ47" s="857"/>
      <c r="BL47" s="854"/>
      <c r="BM47" s="347" t="str">
        <f>BM39</f>
        <v>Bénéfice mensuel</v>
      </c>
      <c r="BN47" s="347" t="s">
        <v>44</v>
      </c>
      <c r="BO47" s="347" t="str">
        <f>BO39</f>
        <v>Achalandage mensuel</v>
      </c>
      <c r="BP47" s="347" t="s">
        <v>45</v>
      </c>
      <c r="BQ47" s="347" t="s">
        <v>46</v>
      </c>
      <c r="BR47" s="347" t="str">
        <f>BR39</f>
        <v>Um/A</v>
      </c>
      <c r="BS47" s="347" t="s">
        <v>45</v>
      </c>
      <c r="BT47" s="347" t="str">
        <f>BT39</f>
        <v>BmO</v>
      </c>
      <c r="BU47" s="347" t="s">
        <v>49</v>
      </c>
      <c r="BV47" s="857"/>
    </row>
    <row r="48" spans="2:74" ht="19" x14ac:dyDescent="0.25">
      <c r="B48" s="887"/>
      <c r="C48" s="895"/>
      <c r="D48" s="854"/>
      <c r="E48" s="348" t="s">
        <v>2</v>
      </c>
      <c r="F48" s="349"/>
      <c r="G48" s="348"/>
      <c r="H48" s="349"/>
      <c r="I48" s="349"/>
      <c r="J48" s="349"/>
      <c r="K48" s="349"/>
      <c r="L48" s="349"/>
      <c r="M48" s="349"/>
      <c r="N48" s="857"/>
      <c r="P48" s="854"/>
      <c r="Q48" s="348" t="s">
        <v>2</v>
      </c>
      <c r="R48" s="349"/>
      <c r="S48" s="348"/>
      <c r="T48" s="349"/>
      <c r="U48" s="349"/>
      <c r="V48" s="349"/>
      <c r="W48" s="349"/>
      <c r="X48" s="349"/>
      <c r="Y48" s="349"/>
      <c r="Z48" s="857"/>
      <c r="AB48" s="854"/>
      <c r="AC48" s="348" t="s">
        <v>2</v>
      </c>
      <c r="AD48" s="349"/>
      <c r="AE48" s="348"/>
      <c r="AF48" s="349"/>
      <c r="AG48" s="349"/>
      <c r="AH48" s="349"/>
      <c r="AI48" s="349"/>
      <c r="AJ48" s="349"/>
      <c r="AK48" s="349"/>
      <c r="AL48" s="857"/>
      <c r="AN48" s="854"/>
      <c r="AO48" s="348" t="s">
        <v>2</v>
      </c>
      <c r="AP48" s="349"/>
      <c r="AQ48" s="348"/>
      <c r="AR48" s="349"/>
      <c r="AS48" s="349"/>
      <c r="AT48" s="349"/>
      <c r="AU48" s="349"/>
      <c r="AV48" s="349"/>
      <c r="AW48" s="349"/>
      <c r="AX48" s="857"/>
      <c r="AZ48" s="854"/>
      <c r="BA48" s="348" t="s">
        <v>2</v>
      </c>
      <c r="BB48" s="349"/>
      <c r="BC48" s="348"/>
      <c r="BD48" s="349"/>
      <c r="BE48" s="349"/>
      <c r="BF48" s="349"/>
      <c r="BG48" s="349"/>
      <c r="BH48" s="349"/>
      <c r="BI48" s="349"/>
      <c r="BJ48" s="857"/>
      <c r="BL48" s="854"/>
      <c r="BM48" s="348" t="s">
        <v>2</v>
      </c>
      <c r="BN48" s="349"/>
      <c r="BO48" s="348"/>
      <c r="BP48" s="349"/>
      <c r="BQ48" s="349"/>
      <c r="BR48" s="349"/>
      <c r="BS48" s="349"/>
      <c r="BT48" s="349"/>
      <c r="BU48" s="349"/>
      <c r="BV48" s="857"/>
    </row>
    <row r="49" spans="2:74" ht="26" x14ac:dyDescent="0.3">
      <c r="B49" s="887"/>
      <c r="C49" s="895"/>
      <c r="D49" s="854"/>
      <c r="E49" s="350" t="str">
        <f>E41</f>
        <v>D</v>
      </c>
      <c r="F49" s="351"/>
      <c r="G49" s="350" t="str">
        <f>G41</f>
        <v>A</v>
      </c>
      <c r="H49" s="351"/>
      <c r="I49" s="351"/>
      <c r="J49" s="350" t="str">
        <f>+J47</f>
        <v>Um/A</v>
      </c>
      <c r="K49" s="351"/>
      <c r="L49" s="350" t="str">
        <f>+L47</f>
        <v>PmO</v>
      </c>
      <c r="M49" s="351"/>
      <c r="N49" s="857"/>
      <c r="P49" s="854"/>
      <c r="Q49" s="350" t="str">
        <f>Q41</f>
        <v>D</v>
      </c>
      <c r="R49" s="351"/>
      <c r="S49" s="350" t="str">
        <f>S41</f>
        <v>A</v>
      </c>
      <c r="T49" s="351"/>
      <c r="U49" s="351"/>
      <c r="V49" s="350" t="str">
        <f>+V47</f>
        <v>Um/A</v>
      </c>
      <c r="W49" s="351"/>
      <c r="X49" s="350" t="str">
        <f>+X47</f>
        <v>PmO</v>
      </c>
      <c r="Y49" s="351"/>
      <c r="Z49" s="857"/>
      <c r="AB49" s="854"/>
      <c r="AC49" s="350" t="str">
        <f>AC41</f>
        <v>D</v>
      </c>
      <c r="AD49" s="351"/>
      <c r="AE49" s="350" t="str">
        <f>AE41</f>
        <v>A</v>
      </c>
      <c r="AF49" s="351"/>
      <c r="AG49" s="351"/>
      <c r="AH49" s="350" t="str">
        <f>+AH47</f>
        <v>Um/A</v>
      </c>
      <c r="AI49" s="351"/>
      <c r="AJ49" s="350" t="str">
        <f>+AJ47</f>
        <v>PmO</v>
      </c>
      <c r="AK49" s="351"/>
      <c r="AL49" s="857"/>
      <c r="AN49" s="854"/>
      <c r="AO49" s="350" t="str">
        <f>AO41</f>
        <v>D</v>
      </c>
      <c r="AP49" s="351"/>
      <c r="AQ49" s="350" t="str">
        <f>AQ41</f>
        <v>A</v>
      </c>
      <c r="AR49" s="351"/>
      <c r="AS49" s="351"/>
      <c r="AT49" s="350" t="str">
        <f>+AT47</f>
        <v>Um/A</v>
      </c>
      <c r="AU49" s="351"/>
      <c r="AV49" s="350" t="str">
        <f>+AV47</f>
        <v>PmO</v>
      </c>
      <c r="AW49" s="351"/>
      <c r="AX49" s="857"/>
      <c r="AZ49" s="854"/>
      <c r="BA49" s="350" t="str">
        <f>BA41</f>
        <v xml:space="preserve">C </v>
      </c>
      <c r="BB49" s="351"/>
      <c r="BC49" s="350" t="str">
        <f>BC41</f>
        <v>A</v>
      </c>
      <c r="BD49" s="351"/>
      <c r="BE49" s="351"/>
      <c r="BF49" s="350" t="str">
        <f>+BF47</f>
        <v>Um/A</v>
      </c>
      <c r="BG49" s="351"/>
      <c r="BH49" s="350" t="str">
        <f>+BH47</f>
        <v>CmO</v>
      </c>
      <c r="BI49" s="351"/>
      <c r="BJ49" s="857"/>
      <c r="BL49" s="854"/>
      <c r="BM49" s="350" t="str">
        <f>BM41</f>
        <v xml:space="preserve">B </v>
      </c>
      <c r="BN49" s="351"/>
      <c r="BO49" s="350" t="str">
        <f>BO41</f>
        <v>A</v>
      </c>
      <c r="BP49" s="351"/>
      <c r="BQ49" s="351"/>
      <c r="BR49" s="350" t="str">
        <f>+BR47</f>
        <v>Um/A</v>
      </c>
      <c r="BS49" s="351"/>
      <c r="BT49" s="350" t="str">
        <f>+BT47</f>
        <v>BmO</v>
      </c>
      <c r="BU49" s="351"/>
      <c r="BV49" s="857"/>
    </row>
    <row r="50" spans="2:74" ht="21" x14ac:dyDescent="0.25">
      <c r="B50" s="887"/>
      <c r="C50" s="895"/>
      <c r="D50" s="854"/>
      <c r="E50" s="340">
        <f>+Q50+AC50+AO50</f>
        <v>55604.250000000007</v>
      </c>
      <c r="F50" s="347" t="s">
        <v>44</v>
      </c>
      <c r="G50" s="341">
        <f>'% Occupation'!I19</f>
        <v>2250</v>
      </c>
      <c r="H50" s="347" t="s">
        <v>45</v>
      </c>
      <c r="I50" s="347" t="s">
        <v>46</v>
      </c>
      <c r="J50" s="342">
        <f>+V50+AH50+AT50</f>
        <v>2.2200000000000002</v>
      </c>
      <c r="K50" s="347" t="s">
        <v>45</v>
      </c>
      <c r="L50" s="343">
        <f>E50/G50/J50</f>
        <v>11.131981981981983</v>
      </c>
      <c r="M50" s="347" t="s">
        <v>49</v>
      </c>
      <c r="N50" s="857"/>
      <c r="P50" s="854"/>
      <c r="Q50" s="340">
        <f>+S50*(V50*X50)</f>
        <v>39825.000000000007</v>
      </c>
      <c r="R50" s="347" t="s">
        <v>44</v>
      </c>
      <c r="S50" s="341">
        <f>G50</f>
        <v>2250</v>
      </c>
      <c r="T50" s="347" t="s">
        <v>45</v>
      </c>
      <c r="U50" s="347" t="s">
        <v>46</v>
      </c>
      <c r="V50" s="378">
        <v>1.5</v>
      </c>
      <c r="W50" s="347" t="s">
        <v>45</v>
      </c>
      <c r="X50" s="379">
        <v>11.8</v>
      </c>
      <c r="Y50" s="347" t="s">
        <v>49</v>
      </c>
      <c r="Z50" s="857"/>
      <c r="AB50" s="854"/>
      <c r="AC50" s="340">
        <f>+AE50*(AH50*AJ50)</f>
        <v>14442.749999999998</v>
      </c>
      <c r="AD50" s="347" t="s">
        <v>44</v>
      </c>
      <c r="AE50" s="341">
        <f>S50</f>
        <v>2250</v>
      </c>
      <c r="AF50" s="347" t="s">
        <v>45</v>
      </c>
      <c r="AG50" s="347" t="s">
        <v>46</v>
      </c>
      <c r="AH50" s="378">
        <v>0.7</v>
      </c>
      <c r="AI50" s="347" t="s">
        <v>45</v>
      </c>
      <c r="AJ50" s="379">
        <v>9.17</v>
      </c>
      <c r="AK50" s="347" t="s">
        <v>49</v>
      </c>
      <c r="AL50" s="857"/>
      <c r="AN50" s="854"/>
      <c r="AO50" s="340">
        <f>+AQ50*(AT50*AV50)</f>
        <v>1336.5</v>
      </c>
      <c r="AP50" s="347" t="s">
        <v>44</v>
      </c>
      <c r="AQ50" s="341">
        <f>AE50</f>
        <v>2250</v>
      </c>
      <c r="AR50" s="347" t="s">
        <v>45</v>
      </c>
      <c r="AS50" s="347" t="s">
        <v>46</v>
      </c>
      <c r="AT50" s="378">
        <v>0.02</v>
      </c>
      <c r="AU50" s="347" t="s">
        <v>45</v>
      </c>
      <c r="AV50" s="379">
        <v>29.7</v>
      </c>
      <c r="AW50" s="347" t="s">
        <v>49</v>
      </c>
      <c r="AX50" s="857"/>
      <c r="AZ50" s="854"/>
      <c r="BA50" s="340">
        <f>'État des Résultats'!T14-'État des Résultats'!T45</f>
        <v>42919.02493584263</v>
      </c>
      <c r="BB50" s="347" t="s">
        <v>44</v>
      </c>
      <c r="BC50" s="341">
        <f>G50</f>
        <v>2250</v>
      </c>
      <c r="BD50" s="347" t="s">
        <v>45</v>
      </c>
      <c r="BE50" s="347" t="s">
        <v>46</v>
      </c>
      <c r="BF50" s="342">
        <f>J50</f>
        <v>2.2200000000000002</v>
      </c>
      <c r="BG50" s="347" t="s">
        <v>45</v>
      </c>
      <c r="BH50" s="343">
        <f>BA50/BC50/BF50</f>
        <v>8.5923973845530774</v>
      </c>
      <c r="BI50" s="347" t="s">
        <v>49</v>
      </c>
      <c r="BJ50" s="857"/>
      <c r="BL50" s="854"/>
      <c r="BM50" s="340">
        <f>'État des Résultats'!T45</f>
        <v>12685.225064157379</v>
      </c>
      <c r="BN50" s="347" t="s">
        <v>44</v>
      </c>
      <c r="BO50" s="341">
        <f>S50</f>
        <v>2250</v>
      </c>
      <c r="BP50" s="347" t="s">
        <v>45</v>
      </c>
      <c r="BQ50" s="347" t="s">
        <v>46</v>
      </c>
      <c r="BR50" s="342">
        <f>J50</f>
        <v>2.2200000000000002</v>
      </c>
      <c r="BS50" s="347" t="s">
        <v>45</v>
      </c>
      <c r="BT50" s="343">
        <f>BM50/BO50/BR50</f>
        <v>2.5395845974289046</v>
      </c>
      <c r="BU50" s="347" t="s">
        <v>49</v>
      </c>
      <c r="BV50" s="857"/>
    </row>
    <row r="51" spans="2:74" ht="17" thickBot="1" x14ac:dyDescent="0.25">
      <c r="B51" s="888"/>
      <c r="C51" s="895"/>
      <c r="D51" s="855"/>
      <c r="E51" s="352"/>
      <c r="F51" s="352"/>
      <c r="G51" s="352"/>
      <c r="H51" s="352"/>
      <c r="I51" s="352"/>
      <c r="J51" s="352"/>
      <c r="K51" s="352"/>
      <c r="L51" s="352"/>
      <c r="M51" s="352"/>
      <c r="N51" s="858"/>
      <c r="P51" s="855"/>
      <c r="Q51" s="352"/>
      <c r="R51" s="352"/>
      <c r="S51" s="352"/>
      <c r="T51" s="352"/>
      <c r="U51" s="352"/>
      <c r="V51" s="352"/>
      <c r="W51" s="352"/>
      <c r="X51" s="352"/>
      <c r="Y51" s="352"/>
      <c r="Z51" s="858"/>
      <c r="AB51" s="855"/>
      <c r="AC51" s="352"/>
      <c r="AD51" s="352"/>
      <c r="AE51" s="352"/>
      <c r="AF51" s="352"/>
      <c r="AG51" s="352"/>
      <c r="AH51" s="352"/>
      <c r="AI51" s="352"/>
      <c r="AJ51" s="352"/>
      <c r="AK51" s="352"/>
      <c r="AL51" s="858"/>
      <c r="AN51" s="855"/>
      <c r="AO51" s="352"/>
      <c r="AP51" s="352"/>
      <c r="AQ51" s="352"/>
      <c r="AR51" s="352"/>
      <c r="AS51" s="352"/>
      <c r="AT51" s="352"/>
      <c r="AU51" s="352"/>
      <c r="AV51" s="352"/>
      <c r="AW51" s="352"/>
      <c r="AX51" s="858"/>
      <c r="AZ51" s="855"/>
      <c r="BA51" s="352"/>
      <c r="BB51" s="352"/>
      <c r="BC51" s="352"/>
      <c r="BD51" s="352"/>
      <c r="BE51" s="352"/>
      <c r="BF51" s="352"/>
      <c r="BG51" s="352"/>
      <c r="BH51" s="352"/>
      <c r="BI51" s="352"/>
      <c r="BJ51" s="858"/>
      <c r="BL51" s="855"/>
      <c r="BM51" s="352"/>
      <c r="BN51" s="352"/>
      <c r="BO51" s="352"/>
      <c r="BP51" s="352"/>
      <c r="BQ51" s="352"/>
      <c r="BR51" s="352"/>
      <c r="BS51" s="352"/>
      <c r="BT51" s="352"/>
      <c r="BU51" s="352"/>
      <c r="BV51" s="858"/>
    </row>
    <row r="52" spans="2:74" ht="10" customHeight="1" thickBot="1" x14ac:dyDescent="0.2">
      <c r="B52" s="161" t="s">
        <v>2</v>
      </c>
      <c r="C52" s="210"/>
    </row>
    <row r="53" spans="2:74" ht="17" thickTop="1" x14ac:dyDescent="0.2">
      <c r="B53" s="889">
        <v>3</v>
      </c>
      <c r="C53" s="894"/>
      <c r="D53" s="841" t="s">
        <v>42</v>
      </c>
      <c r="E53" s="353"/>
      <c r="F53" s="353"/>
      <c r="G53" s="353"/>
      <c r="H53" s="353"/>
      <c r="I53" s="353"/>
      <c r="J53" s="353"/>
      <c r="K53" s="353"/>
      <c r="L53" s="353"/>
      <c r="M53" s="353"/>
      <c r="N53" s="844" t="s">
        <v>43</v>
      </c>
      <c r="P53" s="880" t="s">
        <v>42</v>
      </c>
      <c r="Q53" s="304"/>
      <c r="R53" s="304"/>
      <c r="S53" s="304"/>
      <c r="T53" s="304"/>
      <c r="U53" s="304"/>
      <c r="V53" s="304"/>
      <c r="W53" s="304"/>
      <c r="X53" s="304"/>
      <c r="Y53" s="304"/>
      <c r="Z53" s="881" t="s">
        <v>43</v>
      </c>
      <c r="AB53" s="841" t="s">
        <v>42</v>
      </c>
      <c r="AC53" s="353"/>
      <c r="AD53" s="353"/>
      <c r="AE53" s="353"/>
      <c r="AF53" s="353"/>
      <c r="AG53" s="353"/>
      <c r="AH53" s="353"/>
      <c r="AI53" s="353"/>
      <c r="AJ53" s="353"/>
      <c r="AK53" s="353"/>
      <c r="AL53" s="844" t="s">
        <v>43</v>
      </c>
      <c r="AN53" s="841" t="s">
        <v>42</v>
      </c>
      <c r="AO53" s="353"/>
      <c r="AP53" s="353"/>
      <c r="AQ53" s="353"/>
      <c r="AR53" s="353"/>
      <c r="AS53" s="353"/>
      <c r="AT53" s="353"/>
      <c r="AU53" s="353"/>
      <c r="AV53" s="353"/>
      <c r="AW53" s="353"/>
      <c r="AX53" s="844" t="s">
        <v>43</v>
      </c>
      <c r="AZ53" s="841" t="s">
        <v>42</v>
      </c>
      <c r="BA53" s="353"/>
      <c r="BB53" s="353"/>
      <c r="BC53" s="353"/>
      <c r="BD53" s="353"/>
      <c r="BE53" s="353"/>
      <c r="BF53" s="353"/>
      <c r="BG53" s="353"/>
      <c r="BH53" s="353"/>
      <c r="BI53" s="353"/>
      <c r="BJ53" s="844" t="s">
        <v>43</v>
      </c>
      <c r="BL53" s="841" t="s">
        <v>42</v>
      </c>
      <c r="BM53" s="353"/>
      <c r="BN53" s="353"/>
      <c r="BO53" s="353"/>
      <c r="BP53" s="353"/>
      <c r="BQ53" s="353"/>
      <c r="BR53" s="353"/>
      <c r="BS53" s="353"/>
      <c r="BT53" s="353"/>
      <c r="BU53" s="353"/>
      <c r="BV53" s="844" t="s">
        <v>43</v>
      </c>
    </row>
    <row r="54" spans="2:74" ht="16" x14ac:dyDescent="0.2">
      <c r="B54" s="889"/>
      <c r="C54" s="894"/>
      <c r="D54" s="842"/>
      <c r="E54" s="354"/>
      <c r="F54" s="354"/>
      <c r="G54" s="354"/>
      <c r="H54" s="354"/>
      <c r="I54" s="354"/>
      <c r="J54" s="354"/>
      <c r="K54" s="354"/>
      <c r="L54" s="354"/>
      <c r="M54" s="354"/>
      <c r="N54" s="845"/>
      <c r="P54" s="842"/>
      <c r="Q54" s="304"/>
      <c r="R54" s="304"/>
      <c r="S54" s="304"/>
      <c r="T54" s="304"/>
      <c r="U54" s="304"/>
      <c r="V54" s="304"/>
      <c r="W54" s="304"/>
      <c r="X54" s="304"/>
      <c r="Y54" s="304"/>
      <c r="Z54" s="845"/>
      <c r="AB54" s="842"/>
      <c r="AC54" s="354"/>
      <c r="AD54" s="354"/>
      <c r="AE54" s="354"/>
      <c r="AF54" s="354"/>
      <c r="AG54" s="354"/>
      <c r="AH54" s="354"/>
      <c r="AI54" s="354"/>
      <c r="AJ54" s="354"/>
      <c r="AK54" s="354"/>
      <c r="AL54" s="845"/>
      <c r="AN54" s="842"/>
      <c r="AO54" s="354"/>
      <c r="AP54" s="354"/>
      <c r="AQ54" s="354"/>
      <c r="AR54" s="354"/>
      <c r="AS54" s="354"/>
      <c r="AT54" s="354"/>
      <c r="AU54" s="354"/>
      <c r="AV54" s="354"/>
      <c r="AW54" s="354"/>
      <c r="AX54" s="845"/>
      <c r="AZ54" s="842"/>
      <c r="BA54" s="354"/>
      <c r="BB54" s="354"/>
      <c r="BC54" s="354"/>
      <c r="BD54" s="354"/>
      <c r="BE54" s="354"/>
      <c r="BF54" s="354"/>
      <c r="BG54" s="354"/>
      <c r="BH54" s="354"/>
      <c r="BI54" s="354"/>
      <c r="BJ54" s="845"/>
      <c r="BL54" s="842"/>
      <c r="BM54" s="354"/>
      <c r="BN54" s="354"/>
      <c r="BO54" s="354"/>
      <c r="BP54" s="354"/>
      <c r="BQ54" s="354"/>
      <c r="BR54" s="354"/>
      <c r="BS54" s="354"/>
      <c r="BT54" s="354"/>
      <c r="BU54" s="354"/>
      <c r="BV54" s="845"/>
    </row>
    <row r="55" spans="2:74" ht="21" x14ac:dyDescent="0.25">
      <c r="B55" s="889"/>
      <c r="C55" s="894"/>
      <c r="D55" s="842"/>
      <c r="E55" s="355" t="str">
        <f>E47</f>
        <v>Demande mensuelle</v>
      </c>
      <c r="F55" s="355" t="s">
        <v>44</v>
      </c>
      <c r="G55" s="355" t="str">
        <f>G47</f>
        <v>Achalandage mensuel</v>
      </c>
      <c r="H55" s="355" t="s">
        <v>45</v>
      </c>
      <c r="I55" s="355" t="s">
        <v>46</v>
      </c>
      <c r="J55" s="355" t="str">
        <f>J47</f>
        <v>Um/A</v>
      </c>
      <c r="K55" s="355" t="s">
        <v>45</v>
      </c>
      <c r="L55" s="355" t="str">
        <f>L47</f>
        <v>PmO</v>
      </c>
      <c r="M55" s="355" t="s">
        <v>49</v>
      </c>
      <c r="N55" s="845"/>
      <c r="P55" s="842"/>
      <c r="Q55" s="305" t="str">
        <f>Q47</f>
        <v>Demande mensuelle</v>
      </c>
      <c r="R55" s="305" t="s">
        <v>44</v>
      </c>
      <c r="S55" s="305" t="str">
        <f>S47</f>
        <v>Achalandage mensuel</v>
      </c>
      <c r="T55" s="305" t="s">
        <v>45</v>
      </c>
      <c r="U55" s="305" t="s">
        <v>46</v>
      </c>
      <c r="V55" s="305" t="str">
        <f>V47</f>
        <v>Um/A</v>
      </c>
      <c r="W55" s="305" t="s">
        <v>45</v>
      </c>
      <c r="X55" s="305" t="str">
        <f>X47</f>
        <v>PmO</v>
      </c>
      <c r="Y55" s="305" t="s">
        <v>49</v>
      </c>
      <c r="Z55" s="845"/>
      <c r="AB55" s="842"/>
      <c r="AC55" s="355" t="str">
        <f>AC47</f>
        <v>Demande mensuelle</v>
      </c>
      <c r="AD55" s="355" t="s">
        <v>44</v>
      </c>
      <c r="AE55" s="355" t="str">
        <f>AE47</f>
        <v>Achalandage mensuel</v>
      </c>
      <c r="AF55" s="355" t="s">
        <v>45</v>
      </c>
      <c r="AG55" s="355" t="s">
        <v>46</v>
      </c>
      <c r="AH55" s="355" t="str">
        <f>AH47</f>
        <v>Um/A</v>
      </c>
      <c r="AI55" s="355" t="s">
        <v>45</v>
      </c>
      <c r="AJ55" s="355" t="str">
        <f>AJ47</f>
        <v>PmO</v>
      </c>
      <c r="AK55" s="355" t="s">
        <v>49</v>
      </c>
      <c r="AL55" s="845"/>
      <c r="AN55" s="842"/>
      <c r="AO55" s="355" t="str">
        <f>AO47</f>
        <v>Demande mensuelle</v>
      </c>
      <c r="AP55" s="355" t="s">
        <v>44</v>
      </c>
      <c r="AQ55" s="355" t="str">
        <f>AQ47</f>
        <v>Achalandage mensuel</v>
      </c>
      <c r="AR55" s="355" t="s">
        <v>45</v>
      </c>
      <c r="AS55" s="355" t="s">
        <v>46</v>
      </c>
      <c r="AT55" s="355" t="str">
        <f>AT47</f>
        <v>Um/A</v>
      </c>
      <c r="AU55" s="355" t="s">
        <v>45</v>
      </c>
      <c r="AV55" s="355" t="str">
        <f>AV47</f>
        <v>PmO</v>
      </c>
      <c r="AW55" s="355" t="s">
        <v>49</v>
      </c>
      <c r="AX55" s="845"/>
      <c r="AZ55" s="842"/>
      <c r="BA55" s="355" t="str">
        <f>BA47</f>
        <v>Coût mensuel</v>
      </c>
      <c r="BB55" s="355" t="s">
        <v>44</v>
      </c>
      <c r="BC55" s="355" t="str">
        <f>BC47</f>
        <v>Achalandage mensuel</v>
      </c>
      <c r="BD55" s="355" t="s">
        <v>45</v>
      </c>
      <c r="BE55" s="355" t="s">
        <v>46</v>
      </c>
      <c r="BF55" s="355" t="s">
        <v>47</v>
      </c>
      <c r="BG55" s="355" t="s">
        <v>45</v>
      </c>
      <c r="BH55" s="355" t="str">
        <f>BH47</f>
        <v>CmO</v>
      </c>
      <c r="BI55" s="355" t="s">
        <v>49</v>
      </c>
      <c r="BJ55" s="845"/>
      <c r="BL55" s="842"/>
      <c r="BM55" s="355" t="str">
        <f>BM47</f>
        <v>Bénéfice mensuel</v>
      </c>
      <c r="BN55" s="355" t="s">
        <v>44</v>
      </c>
      <c r="BO55" s="355" t="str">
        <f>BO47</f>
        <v>Achalandage mensuel</v>
      </c>
      <c r="BP55" s="355" t="s">
        <v>45</v>
      </c>
      <c r="BQ55" s="355" t="s">
        <v>46</v>
      </c>
      <c r="BR55" s="355" t="s">
        <v>47</v>
      </c>
      <c r="BS55" s="355" t="s">
        <v>45</v>
      </c>
      <c r="BT55" s="355" t="str">
        <f>BT47</f>
        <v>BmO</v>
      </c>
      <c r="BU55" s="355" t="s">
        <v>49</v>
      </c>
      <c r="BV55" s="845"/>
    </row>
    <row r="56" spans="2:74" ht="19" x14ac:dyDescent="0.25">
      <c r="B56" s="889"/>
      <c r="C56" s="894"/>
      <c r="D56" s="842"/>
      <c r="E56" s="356" t="s">
        <v>2</v>
      </c>
      <c r="F56" s="357"/>
      <c r="G56" s="356"/>
      <c r="H56" s="357"/>
      <c r="I56" s="357"/>
      <c r="J56" s="357"/>
      <c r="K56" s="357"/>
      <c r="L56" s="357"/>
      <c r="M56" s="357"/>
      <c r="N56" s="845"/>
      <c r="P56" s="842"/>
      <c r="Q56" s="306" t="s">
        <v>2</v>
      </c>
      <c r="R56" s="307"/>
      <c r="S56" s="306"/>
      <c r="T56" s="307"/>
      <c r="U56" s="307"/>
      <c r="V56" s="307"/>
      <c r="W56" s="307"/>
      <c r="X56" s="307"/>
      <c r="Y56" s="307"/>
      <c r="Z56" s="845"/>
      <c r="AB56" s="842"/>
      <c r="AC56" s="356" t="s">
        <v>2</v>
      </c>
      <c r="AD56" s="357"/>
      <c r="AE56" s="356"/>
      <c r="AF56" s="357"/>
      <c r="AG56" s="357"/>
      <c r="AH56" s="357"/>
      <c r="AI56" s="357"/>
      <c r="AJ56" s="357"/>
      <c r="AK56" s="357"/>
      <c r="AL56" s="845"/>
      <c r="AN56" s="842"/>
      <c r="AO56" s="356" t="s">
        <v>2</v>
      </c>
      <c r="AP56" s="357"/>
      <c r="AQ56" s="356"/>
      <c r="AR56" s="357"/>
      <c r="AS56" s="357"/>
      <c r="AT56" s="357"/>
      <c r="AU56" s="357"/>
      <c r="AV56" s="357"/>
      <c r="AW56" s="357"/>
      <c r="AX56" s="845"/>
      <c r="AZ56" s="842"/>
      <c r="BA56" s="356" t="s">
        <v>2</v>
      </c>
      <c r="BB56" s="357"/>
      <c r="BC56" s="356"/>
      <c r="BD56" s="357"/>
      <c r="BE56" s="357"/>
      <c r="BF56" s="357"/>
      <c r="BG56" s="357"/>
      <c r="BH56" s="357"/>
      <c r="BI56" s="357"/>
      <c r="BJ56" s="845"/>
      <c r="BL56" s="842"/>
      <c r="BM56" s="356" t="s">
        <v>2</v>
      </c>
      <c r="BN56" s="357"/>
      <c r="BO56" s="356"/>
      <c r="BP56" s="357"/>
      <c r="BQ56" s="357"/>
      <c r="BR56" s="357"/>
      <c r="BS56" s="357"/>
      <c r="BT56" s="357"/>
      <c r="BU56" s="357"/>
      <c r="BV56" s="845"/>
    </row>
    <row r="57" spans="2:74" ht="26" x14ac:dyDescent="0.3">
      <c r="B57" s="889"/>
      <c r="C57" s="894"/>
      <c r="D57" s="842"/>
      <c r="E57" s="358" t="str">
        <f>E49</f>
        <v>D</v>
      </c>
      <c r="F57" s="359"/>
      <c r="G57" s="358" t="str">
        <f>G49</f>
        <v>A</v>
      </c>
      <c r="H57" s="359"/>
      <c r="I57" s="359"/>
      <c r="J57" s="358" t="str">
        <f>+J55</f>
        <v>Um/A</v>
      </c>
      <c r="K57" s="359"/>
      <c r="L57" s="358" t="str">
        <f>+L55</f>
        <v>PmO</v>
      </c>
      <c r="M57" s="359"/>
      <c r="N57" s="845"/>
      <c r="P57" s="842"/>
      <c r="Q57" s="308" t="str">
        <f>Q49</f>
        <v>D</v>
      </c>
      <c r="R57" s="309"/>
      <c r="S57" s="308" t="str">
        <f>S49</f>
        <v>A</v>
      </c>
      <c r="T57" s="309"/>
      <c r="U57" s="309"/>
      <c r="V57" s="308" t="str">
        <f>+V55</f>
        <v>Um/A</v>
      </c>
      <c r="W57" s="309"/>
      <c r="X57" s="308" t="str">
        <f>+X55</f>
        <v>PmO</v>
      </c>
      <c r="Y57" s="309"/>
      <c r="Z57" s="845"/>
      <c r="AB57" s="842"/>
      <c r="AC57" s="358" t="str">
        <f>AC49</f>
        <v>D</v>
      </c>
      <c r="AD57" s="359"/>
      <c r="AE57" s="358" t="str">
        <f>AE49</f>
        <v>A</v>
      </c>
      <c r="AF57" s="359"/>
      <c r="AG57" s="359"/>
      <c r="AH57" s="358" t="str">
        <f>+AH55</f>
        <v>Um/A</v>
      </c>
      <c r="AI57" s="359"/>
      <c r="AJ57" s="358" t="str">
        <f>+AJ55</f>
        <v>PmO</v>
      </c>
      <c r="AK57" s="359"/>
      <c r="AL57" s="845"/>
      <c r="AN57" s="842"/>
      <c r="AO57" s="358" t="str">
        <f>AO49</f>
        <v>D</v>
      </c>
      <c r="AP57" s="359"/>
      <c r="AQ57" s="358" t="str">
        <f>AQ49</f>
        <v>A</v>
      </c>
      <c r="AR57" s="359"/>
      <c r="AS57" s="359"/>
      <c r="AT57" s="358" t="str">
        <f>+AT55</f>
        <v>Um/A</v>
      </c>
      <c r="AU57" s="359"/>
      <c r="AV57" s="358" t="str">
        <f>+AV55</f>
        <v>PmO</v>
      </c>
      <c r="AW57" s="359"/>
      <c r="AX57" s="845"/>
      <c r="AZ57" s="842"/>
      <c r="BA57" s="358" t="str">
        <f>BA49</f>
        <v xml:space="preserve">C </v>
      </c>
      <c r="BB57" s="359"/>
      <c r="BC57" s="358" t="str">
        <f>BC49</f>
        <v>A</v>
      </c>
      <c r="BD57" s="359"/>
      <c r="BE57" s="359"/>
      <c r="BF57" s="358" t="str">
        <f>+BF55</f>
        <v>Um/A</v>
      </c>
      <c r="BG57" s="359"/>
      <c r="BH57" s="358" t="str">
        <f>+BH55</f>
        <v>CmO</v>
      </c>
      <c r="BI57" s="359"/>
      <c r="BJ57" s="845"/>
      <c r="BL57" s="842"/>
      <c r="BM57" s="358" t="str">
        <f>BM49</f>
        <v xml:space="preserve">B </v>
      </c>
      <c r="BN57" s="359"/>
      <c r="BO57" s="358" t="str">
        <f>BO49</f>
        <v>A</v>
      </c>
      <c r="BP57" s="359"/>
      <c r="BQ57" s="359"/>
      <c r="BR57" s="358" t="str">
        <f>+BR55</f>
        <v>Um/A</v>
      </c>
      <c r="BS57" s="359"/>
      <c r="BT57" s="358" t="str">
        <f>+BT55</f>
        <v>BmO</v>
      </c>
      <c r="BU57" s="359"/>
      <c r="BV57" s="845"/>
    </row>
    <row r="58" spans="2:74" ht="21" x14ac:dyDescent="0.25">
      <c r="B58" s="889"/>
      <c r="C58" s="894"/>
      <c r="D58" s="842"/>
      <c r="E58" s="340">
        <f>+Q58+AC58+AO58</f>
        <v>76610.3</v>
      </c>
      <c r="F58" s="355" t="s">
        <v>44</v>
      </c>
      <c r="G58" s="341">
        <f>'% Occupation'!J19</f>
        <v>3100</v>
      </c>
      <c r="H58" s="355" t="s">
        <v>45</v>
      </c>
      <c r="I58" s="355" t="s">
        <v>46</v>
      </c>
      <c r="J58" s="342">
        <f>+V58+AH58+AT58</f>
        <v>2.2200000000000002</v>
      </c>
      <c r="K58" s="355" t="s">
        <v>45</v>
      </c>
      <c r="L58" s="343">
        <f>E58/G58/J58</f>
        <v>11.131981981981982</v>
      </c>
      <c r="M58" s="355" t="s">
        <v>49</v>
      </c>
      <c r="N58" s="845"/>
      <c r="P58" s="842"/>
      <c r="Q58" s="283">
        <f>+S58*(V58*X58)</f>
        <v>54870.000000000007</v>
      </c>
      <c r="R58" s="305" t="s">
        <v>44</v>
      </c>
      <c r="S58" s="165">
        <f>G58</f>
        <v>3100</v>
      </c>
      <c r="T58" s="305" t="s">
        <v>45</v>
      </c>
      <c r="U58" s="305" t="s">
        <v>46</v>
      </c>
      <c r="V58" s="311">
        <v>1.5</v>
      </c>
      <c r="W58" s="305" t="s">
        <v>45</v>
      </c>
      <c r="X58" s="284">
        <v>11.8</v>
      </c>
      <c r="Y58" s="305" t="s">
        <v>49</v>
      </c>
      <c r="Z58" s="845"/>
      <c r="AB58" s="842"/>
      <c r="AC58" s="340">
        <f>+AE58*(AH58*AJ58)</f>
        <v>19898.899999999998</v>
      </c>
      <c r="AD58" s="355" t="s">
        <v>44</v>
      </c>
      <c r="AE58" s="341">
        <f>S58</f>
        <v>3100</v>
      </c>
      <c r="AF58" s="355" t="s">
        <v>45</v>
      </c>
      <c r="AG58" s="355" t="s">
        <v>46</v>
      </c>
      <c r="AH58" s="378">
        <v>0.7</v>
      </c>
      <c r="AI58" s="355" t="s">
        <v>45</v>
      </c>
      <c r="AJ58" s="379">
        <v>9.17</v>
      </c>
      <c r="AK58" s="355" t="s">
        <v>49</v>
      </c>
      <c r="AL58" s="845"/>
      <c r="AN58" s="842"/>
      <c r="AO58" s="340">
        <f>+AQ58*(AT58*AV58)</f>
        <v>1841.3999999999999</v>
      </c>
      <c r="AP58" s="355" t="s">
        <v>44</v>
      </c>
      <c r="AQ58" s="341">
        <f>AE58</f>
        <v>3100</v>
      </c>
      <c r="AR58" s="355" t="s">
        <v>45</v>
      </c>
      <c r="AS58" s="355" t="s">
        <v>46</v>
      </c>
      <c r="AT58" s="378">
        <v>0.02</v>
      </c>
      <c r="AU58" s="355" t="s">
        <v>45</v>
      </c>
      <c r="AV58" s="379">
        <v>29.7</v>
      </c>
      <c r="AW58" s="355" t="s">
        <v>49</v>
      </c>
      <c r="AX58" s="845"/>
      <c r="AZ58" s="842"/>
      <c r="BA58" s="340">
        <f>'État des Résultats'!W14-'État des Résultats'!W45</f>
        <v>53205.281022716503</v>
      </c>
      <c r="BB58" s="355" t="s">
        <v>44</v>
      </c>
      <c r="BC58" s="341">
        <f>G58</f>
        <v>3100</v>
      </c>
      <c r="BD58" s="355" t="s">
        <v>45</v>
      </c>
      <c r="BE58" s="355" t="s">
        <v>46</v>
      </c>
      <c r="BF58" s="342">
        <f>J58</f>
        <v>2.2200000000000002</v>
      </c>
      <c r="BG58" s="355" t="s">
        <v>45</v>
      </c>
      <c r="BH58" s="343">
        <f>BA58/BC58/BF58</f>
        <v>7.7310783235565959</v>
      </c>
      <c r="BI58" s="355" t="s">
        <v>49</v>
      </c>
      <c r="BJ58" s="845"/>
      <c r="BL58" s="842"/>
      <c r="BM58" s="340">
        <f>'État des Résultats'!W45</f>
        <v>23405.0189772835</v>
      </c>
      <c r="BN58" s="355" t="s">
        <v>44</v>
      </c>
      <c r="BO58" s="341">
        <f>G58</f>
        <v>3100</v>
      </c>
      <c r="BP58" s="355" t="s">
        <v>45</v>
      </c>
      <c r="BQ58" s="355" t="s">
        <v>46</v>
      </c>
      <c r="BR58" s="342">
        <f>J58</f>
        <v>2.2200000000000002</v>
      </c>
      <c r="BS58" s="355" t="s">
        <v>45</v>
      </c>
      <c r="BT58" s="343">
        <f>BM58/BO58/BR58</f>
        <v>3.4009036584253849</v>
      </c>
      <c r="BU58" s="355" t="s">
        <v>49</v>
      </c>
      <c r="BV58" s="845"/>
    </row>
    <row r="59" spans="2:74" ht="17" thickBot="1" x14ac:dyDescent="0.25">
      <c r="B59" s="889"/>
      <c r="C59" s="894"/>
      <c r="D59" s="843"/>
      <c r="E59" s="360"/>
      <c r="F59" s="360"/>
      <c r="G59" s="360"/>
      <c r="H59" s="360"/>
      <c r="I59" s="360"/>
      <c r="J59" s="360"/>
      <c r="K59" s="360"/>
      <c r="L59" s="360"/>
      <c r="M59" s="360"/>
      <c r="N59" s="846"/>
      <c r="P59" s="842"/>
      <c r="Q59" s="309"/>
      <c r="R59" s="309"/>
      <c r="S59" s="309"/>
      <c r="T59" s="309"/>
      <c r="U59" s="309"/>
      <c r="V59" s="309"/>
      <c r="W59" s="309"/>
      <c r="X59" s="309"/>
      <c r="Y59" s="309"/>
      <c r="Z59" s="845"/>
      <c r="AB59" s="843"/>
      <c r="AC59" s="360"/>
      <c r="AD59" s="360"/>
      <c r="AE59" s="360"/>
      <c r="AF59" s="360"/>
      <c r="AG59" s="360"/>
      <c r="AH59" s="360"/>
      <c r="AI59" s="360"/>
      <c r="AJ59" s="360"/>
      <c r="AK59" s="360"/>
      <c r="AL59" s="846"/>
      <c r="AN59" s="843"/>
      <c r="AO59" s="360"/>
      <c r="AP59" s="360"/>
      <c r="AQ59" s="360"/>
      <c r="AR59" s="360"/>
      <c r="AS59" s="360"/>
      <c r="AT59" s="360"/>
      <c r="AU59" s="360"/>
      <c r="AV59" s="360"/>
      <c r="AW59" s="360"/>
      <c r="AX59" s="846"/>
      <c r="AZ59" s="843"/>
      <c r="BA59" s="360"/>
      <c r="BB59" s="360"/>
      <c r="BC59" s="360"/>
      <c r="BD59" s="360"/>
      <c r="BE59" s="360"/>
      <c r="BF59" s="360"/>
      <c r="BG59" s="360"/>
      <c r="BH59" s="360"/>
      <c r="BI59" s="360"/>
      <c r="BJ59" s="846"/>
      <c r="BL59" s="843"/>
      <c r="BM59" s="360"/>
      <c r="BN59" s="360"/>
      <c r="BO59" s="360"/>
      <c r="BP59" s="360"/>
      <c r="BQ59" s="360"/>
      <c r="BR59" s="360"/>
      <c r="BS59" s="360"/>
      <c r="BT59" s="360"/>
      <c r="BU59" s="360"/>
      <c r="BV59" s="846"/>
    </row>
    <row r="60" spans="2:74" ht="5" customHeight="1" thickTop="1" thickBot="1" x14ac:dyDescent="0.25">
      <c r="B60" s="889"/>
      <c r="C60" s="377"/>
      <c r="D60" s="310"/>
      <c r="AZ60" s="310"/>
      <c r="BL60" s="310"/>
    </row>
    <row r="61" spans="2:74" ht="17" thickTop="1" x14ac:dyDescent="0.2">
      <c r="B61" s="889"/>
      <c r="C61" s="894"/>
      <c r="D61" s="841" t="s">
        <v>42</v>
      </c>
      <c r="E61" s="353"/>
      <c r="F61" s="353"/>
      <c r="G61" s="353"/>
      <c r="H61" s="353"/>
      <c r="I61" s="353"/>
      <c r="J61" s="353"/>
      <c r="K61" s="353"/>
      <c r="L61" s="353"/>
      <c r="M61" s="353"/>
      <c r="N61" s="844" t="s">
        <v>43</v>
      </c>
      <c r="P61" s="841" t="s">
        <v>42</v>
      </c>
      <c r="Q61" s="353"/>
      <c r="R61" s="353"/>
      <c r="S61" s="353"/>
      <c r="T61" s="353"/>
      <c r="U61" s="353"/>
      <c r="V61" s="353"/>
      <c r="W61" s="353"/>
      <c r="X61" s="353"/>
      <c r="Y61" s="353"/>
      <c r="Z61" s="844" t="s">
        <v>43</v>
      </c>
      <c r="AB61" s="841" t="s">
        <v>42</v>
      </c>
      <c r="AC61" s="353"/>
      <c r="AD61" s="353"/>
      <c r="AE61" s="353"/>
      <c r="AF61" s="353"/>
      <c r="AG61" s="353"/>
      <c r="AH61" s="353"/>
      <c r="AI61" s="353"/>
      <c r="AJ61" s="353"/>
      <c r="AK61" s="353"/>
      <c r="AL61" s="844" t="s">
        <v>43</v>
      </c>
      <c r="AN61" s="841" t="s">
        <v>42</v>
      </c>
      <c r="AO61" s="353"/>
      <c r="AP61" s="353"/>
      <c r="AQ61" s="353"/>
      <c r="AR61" s="353"/>
      <c r="AS61" s="353"/>
      <c r="AT61" s="353"/>
      <c r="AU61" s="353"/>
      <c r="AV61" s="353"/>
      <c r="AW61" s="353"/>
      <c r="AX61" s="844" t="s">
        <v>43</v>
      </c>
      <c r="AZ61" s="841" t="s">
        <v>42</v>
      </c>
      <c r="BA61" s="353"/>
      <c r="BB61" s="353"/>
      <c r="BC61" s="353"/>
      <c r="BD61" s="353"/>
      <c r="BE61" s="353"/>
      <c r="BF61" s="353"/>
      <c r="BG61" s="353"/>
      <c r="BH61" s="353"/>
      <c r="BI61" s="353"/>
      <c r="BJ61" s="844" t="s">
        <v>43</v>
      </c>
      <c r="BL61" s="841" t="s">
        <v>42</v>
      </c>
      <c r="BM61" s="353"/>
      <c r="BN61" s="353"/>
      <c r="BO61" s="353"/>
      <c r="BP61" s="353"/>
      <c r="BQ61" s="353"/>
      <c r="BR61" s="353"/>
      <c r="BS61" s="353"/>
      <c r="BT61" s="353"/>
      <c r="BU61" s="353"/>
      <c r="BV61" s="844" t="s">
        <v>43</v>
      </c>
    </row>
    <row r="62" spans="2:74" ht="16" x14ac:dyDescent="0.2">
      <c r="B62" s="889"/>
      <c r="C62" s="894"/>
      <c r="D62" s="842"/>
      <c r="E62" s="354"/>
      <c r="F62" s="354"/>
      <c r="G62" s="354"/>
      <c r="H62" s="354"/>
      <c r="I62" s="354"/>
      <c r="J62" s="354"/>
      <c r="K62" s="354"/>
      <c r="L62" s="354"/>
      <c r="M62" s="354"/>
      <c r="N62" s="845"/>
      <c r="P62" s="842"/>
      <c r="Q62" s="354"/>
      <c r="R62" s="354"/>
      <c r="S62" s="354"/>
      <c r="T62" s="354"/>
      <c r="U62" s="354"/>
      <c r="V62" s="354"/>
      <c r="W62" s="354"/>
      <c r="X62" s="354"/>
      <c r="Y62" s="354"/>
      <c r="Z62" s="845"/>
      <c r="AB62" s="842"/>
      <c r="AC62" s="354"/>
      <c r="AD62" s="354"/>
      <c r="AE62" s="354"/>
      <c r="AF62" s="354"/>
      <c r="AG62" s="354"/>
      <c r="AH62" s="354"/>
      <c r="AI62" s="354"/>
      <c r="AJ62" s="354"/>
      <c r="AK62" s="354"/>
      <c r="AL62" s="845"/>
      <c r="AN62" s="842"/>
      <c r="AO62" s="354"/>
      <c r="AP62" s="354"/>
      <c r="AQ62" s="354"/>
      <c r="AR62" s="354"/>
      <c r="AS62" s="354"/>
      <c r="AT62" s="354"/>
      <c r="AU62" s="354"/>
      <c r="AV62" s="354"/>
      <c r="AW62" s="354"/>
      <c r="AX62" s="845"/>
      <c r="AZ62" s="842"/>
      <c r="BA62" s="354"/>
      <c r="BB62" s="354"/>
      <c r="BC62" s="354"/>
      <c r="BD62" s="354"/>
      <c r="BE62" s="354"/>
      <c r="BF62" s="354"/>
      <c r="BG62" s="354"/>
      <c r="BH62" s="354"/>
      <c r="BI62" s="354"/>
      <c r="BJ62" s="845"/>
      <c r="BL62" s="842"/>
      <c r="BM62" s="354"/>
      <c r="BN62" s="354"/>
      <c r="BO62" s="354"/>
      <c r="BP62" s="354"/>
      <c r="BQ62" s="354"/>
      <c r="BR62" s="354"/>
      <c r="BS62" s="354"/>
      <c r="BT62" s="354"/>
      <c r="BU62" s="354"/>
      <c r="BV62" s="845"/>
    </row>
    <row r="63" spans="2:74" ht="21" x14ac:dyDescent="0.25">
      <c r="B63" s="889"/>
      <c r="C63" s="894"/>
      <c r="D63" s="842"/>
      <c r="E63" s="355" t="str">
        <f>E55</f>
        <v>Demande mensuelle</v>
      </c>
      <c r="F63" s="355" t="s">
        <v>44</v>
      </c>
      <c r="G63" s="355" t="str">
        <f>G55</f>
        <v>Achalandage mensuel</v>
      </c>
      <c r="H63" s="355" t="s">
        <v>45</v>
      </c>
      <c r="I63" s="355" t="s">
        <v>46</v>
      </c>
      <c r="J63" s="355" t="str">
        <f>J55</f>
        <v>Um/A</v>
      </c>
      <c r="K63" s="355" t="s">
        <v>45</v>
      </c>
      <c r="L63" s="355" t="str">
        <f>L55</f>
        <v>PmO</v>
      </c>
      <c r="M63" s="355" t="s">
        <v>49</v>
      </c>
      <c r="N63" s="845"/>
      <c r="P63" s="842"/>
      <c r="Q63" s="355" t="str">
        <f>Q55</f>
        <v>Demande mensuelle</v>
      </c>
      <c r="R63" s="355" t="s">
        <v>44</v>
      </c>
      <c r="S63" s="355" t="str">
        <f>S55</f>
        <v>Achalandage mensuel</v>
      </c>
      <c r="T63" s="355" t="s">
        <v>45</v>
      </c>
      <c r="U63" s="355" t="s">
        <v>46</v>
      </c>
      <c r="V63" s="355" t="str">
        <f>V55</f>
        <v>Um/A</v>
      </c>
      <c r="W63" s="355" t="s">
        <v>45</v>
      </c>
      <c r="X63" s="355" t="str">
        <f>X55</f>
        <v>PmO</v>
      </c>
      <c r="Y63" s="355" t="s">
        <v>49</v>
      </c>
      <c r="Z63" s="845"/>
      <c r="AB63" s="842"/>
      <c r="AC63" s="355" t="str">
        <f>AC55</f>
        <v>Demande mensuelle</v>
      </c>
      <c r="AD63" s="355" t="s">
        <v>44</v>
      </c>
      <c r="AE63" s="355" t="str">
        <f>AE55</f>
        <v>Achalandage mensuel</v>
      </c>
      <c r="AF63" s="355" t="s">
        <v>45</v>
      </c>
      <c r="AG63" s="355" t="s">
        <v>46</v>
      </c>
      <c r="AH63" s="355" t="str">
        <f>AH55</f>
        <v>Um/A</v>
      </c>
      <c r="AI63" s="355" t="s">
        <v>45</v>
      </c>
      <c r="AJ63" s="355" t="str">
        <f>AJ55</f>
        <v>PmO</v>
      </c>
      <c r="AK63" s="355" t="s">
        <v>49</v>
      </c>
      <c r="AL63" s="845"/>
      <c r="AN63" s="842"/>
      <c r="AO63" s="355" t="str">
        <f>AO55</f>
        <v>Demande mensuelle</v>
      </c>
      <c r="AP63" s="355" t="s">
        <v>44</v>
      </c>
      <c r="AQ63" s="355" t="str">
        <f>AQ55</f>
        <v>Achalandage mensuel</v>
      </c>
      <c r="AR63" s="355" t="s">
        <v>45</v>
      </c>
      <c r="AS63" s="355" t="s">
        <v>46</v>
      </c>
      <c r="AT63" s="355" t="str">
        <f>AT55</f>
        <v>Um/A</v>
      </c>
      <c r="AU63" s="355" t="s">
        <v>45</v>
      </c>
      <c r="AV63" s="355" t="str">
        <f>AV55</f>
        <v>PmO</v>
      </c>
      <c r="AW63" s="355" t="s">
        <v>49</v>
      </c>
      <c r="AX63" s="845"/>
      <c r="AZ63" s="842"/>
      <c r="BA63" s="355" t="str">
        <f>BA55</f>
        <v>Coût mensuel</v>
      </c>
      <c r="BB63" s="355" t="s">
        <v>44</v>
      </c>
      <c r="BC63" s="355" t="str">
        <f>BC55</f>
        <v>Achalandage mensuel</v>
      </c>
      <c r="BD63" s="355" t="s">
        <v>45</v>
      </c>
      <c r="BE63" s="355" t="s">
        <v>46</v>
      </c>
      <c r="BF63" s="355" t="str">
        <f>BF55</f>
        <v>Um/A</v>
      </c>
      <c r="BG63" s="355" t="s">
        <v>45</v>
      </c>
      <c r="BH63" s="355" t="str">
        <f>BH55</f>
        <v>CmO</v>
      </c>
      <c r="BI63" s="355" t="s">
        <v>49</v>
      </c>
      <c r="BJ63" s="845"/>
      <c r="BL63" s="842"/>
      <c r="BM63" s="355" t="str">
        <f>BM55</f>
        <v>Bénéfice mensuel</v>
      </c>
      <c r="BN63" s="355" t="s">
        <v>44</v>
      </c>
      <c r="BO63" s="355" t="str">
        <f>BO55</f>
        <v>Achalandage mensuel</v>
      </c>
      <c r="BP63" s="355" t="s">
        <v>45</v>
      </c>
      <c r="BQ63" s="355" t="s">
        <v>46</v>
      </c>
      <c r="BR63" s="355" t="str">
        <f>BR55</f>
        <v>Um/A</v>
      </c>
      <c r="BS63" s="355" t="s">
        <v>45</v>
      </c>
      <c r="BT63" s="355" t="str">
        <f>BT55</f>
        <v>BmO</v>
      </c>
      <c r="BU63" s="355" t="s">
        <v>49</v>
      </c>
      <c r="BV63" s="845"/>
    </row>
    <row r="64" spans="2:74" ht="19" x14ac:dyDescent="0.25">
      <c r="B64" s="889"/>
      <c r="C64" s="894"/>
      <c r="D64" s="842"/>
      <c r="E64" s="356" t="s">
        <v>2</v>
      </c>
      <c r="F64" s="357"/>
      <c r="G64" s="356"/>
      <c r="H64" s="357"/>
      <c r="I64" s="357"/>
      <c r="J64" s="357"/>
      <c r="K64" s="357"/>
      <c r="L64" s="357"/>
      <c r="M64" s="357"/>
      <c r="N64" s="845"/>
      <c r="P64" s="842"/>
      <c r="Q64" s="356" t="s">
        <v>2</v>
      </c>
      <c r="R64" s="357"/>
      <c r="S64" s="356"/>
      <c r="T64" s="357"/>
      <c r="U64" s="357"/>
      <c r="V64" s="357"/>
      <c r="W64" s="357"/>
      <c r="X64" s="357"/>
      <c r="Y64" s="357"/>
      <c r="Z64" s="845"/>
      <c r="AB64" s="842"/>
      <c r="AC64" s="356" t="s">
        <v>2</v>
      </c>
      <c r="AD64" s="357"/>
      <c r="AE64" s="356"/>
      <c r="AF64" s="357"/>
      <c r="AG64" s="357"/>
      <c r="AH64" s="357"/>
      <c r="AI64" s="357"/>
      <c r="AJ64" s="357"/>
      <c r="AK64" s="357"/>
      <c r="AL64" s="845"/>
      <c r="AN64" s="842"/>
      <c r="AO64" s="356" t="s">
        <v>2</v>
      </c>
      <c r="AP64" s="357"/>
      <c r="AQ64" s="356"/>
      <c r="AR64" s="357"/>
      <c r="AS64" s="357"/>
      <c r="AT64" s="357"/>
      <c r="AU64" s="357"/>
      <c r="AV64" s="357"/>
      <c r="AW64" s="357"/>
      <c r="AX64" s="845"/>
      <c r="AZ64" s="842"/>
      <c r="BA64" s="356" t="s">
        <v>2</v>
      </c>
      <c r="BB64" s="357"/>
      <c r="BC64" s="356"/>
      <c r="BD64" s="357"/>
      <c r="BE64" s="357"/>
      <c r="BF64" s="357"/>
      <c r="BG64" s="357"/>
      <c r="BH64" s="357"/>
      <c r="BI64" s="357"/>
      <c r="BJ64" s="845"/>
      <c r="BL64" s="842"/>
      <c r="BM64" s="356" t="s">
        <v>2</v>
      </c>
      <c r="BN64" s="357"/>
      <c r="BO64" s="356"/>
      <c r="BP64" s="357"/>
      <c r="BQ64" s="357"/>
      <c r="BR64" s="357"/>
      <c r="BS64" s="357"/>
      <c r="BT64" s="357"/>
      <c r="BU64" s="357"/>
      <c r="BV64" s="845"/>
    </row>
    <row r="65" spans="2:74" ht="26" x14ac:dyDescent="0.3">
      <c r="B65" s="889"/>
      <c r="C65" s="894"/>
      <c r="D65" s="842"/>
      <c r="E65" s="358" t="str">
        <f>E57</f>
        <v>D</v>
      </c>
      <c r="F65" s="359"/>
      <c r="G65" s="358" t="str">
        <f>G57</f>
        <v>A</v>
      </c>
      <c r="H65" s="359"/>
      <c r="I65" s="359"/>
      <c r="J65" s="358" t="str">
        <f>+J63</f>
        <v>Um/A</v>
      </c>
      <c r="K65" s="359"/>
      <c r="L65" s="358" t="str">
        <f>+L63</f>
        <v>PmO</v>
      </c>
      <c r="M65" s="359"/>
      <c r="N65" s="845"/>
      <c r="P65" s="842"/>
      <c r="Q65" s="358" t="str">
        <f>Q57</f>
        <v>D</v>
      </c>
      <c r="R65" s="359"/>
      <c r="S65" s="358" t="str">
        <f>S57</f>
        <v>A</v>
      </c>
      <c r="T65" s="359"/>
      <c r="U65" s="359"/>
      <c r="V65" s="358" t="str">
        <f>+V63</f>
        <v>Um/A</v>
      </c>
      <c r="W65" s="359"/>
      <c r="X65" s="358" t="str">
        <f>+X63</f>
        <v>PmO</v>
      </c>
      <c r="Y65" s="359"/>
      <c r="Z65" s="845"/>
      <c r="AB65" s="842"/>
      <c r="AC65" s="358" t="str">
        <f>AC57</f>
        <v>D</v>
      </c>
      <c r="AD65" s="359"/>
      <c r="AE65" s="358" t="str">
        <f>AE57</f>
        <v>A</v>
      </c>
      <c r="AF65" s="359"/>
      <c r="AG65" s="359"/>
      <c r="AH65" s="358" t="str">
        <f>+AH63</f>
        <v>Um/A</v>
      </c>
      <c r="AI65" s="359"/>
      <c r="AJ65" s="358" t="str">
        <f>+AJ63</f>
        <v>PmO</v>
      </c>
      <c r="AK65" s="359"/>
      <c r="AL65" s="845"/>
      <c r="AN65" s="842"/>
      <c r="AO65" s="358" t="str">
        <f>AO57</f>
        <v>D</v>
      </c>
      <c r="AP65" s="359"/>
      <c r="AQ65" s="358" t="str">
        <f>AQ57</f>
        <v>A</v>
      </c>
      <c r="AR65" s="359"/>
      <c r="AS65" s="359"/>
      <c r="AT65" s="358" t="str">
        <f>+AT63</f>
        <v>Um/A</v>
      </c>
      <c r="AU65" s="359"/>
      <c r="AV65" s="358" t="str">
        <f>+AV63</f>
        <v>PmO</v>
      </c>
      <c r="AW65" s="359"/>
      <c r="AX65" s="845"/>
      <c r="AZ65" s="842"/>
      <c r="BA65" s="358" t="str">
        <f>BA57</f>
        <v xml:space="preserve">C </v>
      </c>
      <c r="BB65" s="359"/>
      <c r="BC65" s="358" t="str">
        <f>BC57</f>
        <v>A</v>
      </c>
      <c r="BD65" s="359"/>
      <c r="BE65" s="359"/>
      <c r="BF65" s="358" t="str">
        <f>+BF63</f>
        <v>Um/A</v>
      </c>
      <c r="BG65" s="359"/>
      <c r="BH65" s="358" t="str">
        <f>+BH63</f>
        <v>CmO</v>
      </c>
      <c r="BI65" s="359"/>
      <c r="BJ65" s="845"/>
      <c r="BL65" s="842"/>
      <c r="BM65" s="358" t="str">
        <f>BM57</f>
        <v xml:space="preserve">B </v>
      </c>
      <c r="BN65" s="359"/>
      <c r="BO65" s="358" t="str">
        <f>BO57</f>
        <v>A</v>
      </c>
      <c r="BP65" s="359"/>
      <c r="BQ65" s="359"/>
      <c r="BR65" s="358" t="str">
        <f>+BR63</f>
        <v>Um/A</v>
      </c>
      <c r="BS65" s="359"/>
      <c r="BT65" s="358" t="str">
        <f>+BT63</f>
        <v>BmO</v>
      </c>
      <c r="BU65" s="359"/>
      <c r="BV65" s="845"/>
    </row>
    <row r="66" spans="2:74" ht="21" x14ac:dyDescent="0.25">
      <c r="B66" s="889"/>
      <c r="C66" s="894"/>
      <c r="D66" s="842"/>
      <c r="E66" s="340">
        <f>+Q66+AC66+AO66</f>
        <v>68949.27</v>
      </c>
      <c r="F66" s="355" t="s">
        <v>44</v>
      </c>
      <c r="G66" s="341">
        <f>'% Occupation'!K19</f>
        <v>2790</v>
      </c>
      <c r="H66" s="355" t="s">
        <v>45</v>
      </c>
      <c r="I66" s="355" t="s">
        <v>46</v>
      </c>
      <c r="J66" s="342">
        <f>+V66+AH66+AT66</f>
        <v>2.2200000000000002</v>
      </c>
      <c r="K66" s="355" t="s">
        <v>45</v>
      </c>
      <c r="L66" s="343">
        <f>E66/G66/J66</f>
        <v>11.131981981981982</v>
      </c>
      <c r="M66" s="355" t="s">
        <v>49</v>
      </c>
      <c r="N66" s="845"/>
      <c r="P66" s="842"/>
      <c r="Q66" s="340">
        <f>+S66*(V66*X66)</f>
        <v>49383.000000000007</v>
      </c>
      <c r="R66" s="355" t="s">
        <v>44</v>
      </c>
      <c r="S66" s="341">
        <f>G66</f>
        <v>2790</v>
      </c>
      <c r="T66" s="355" t="s">
        <v>45</v>
      </c>
      <c r="U66" s="355" t="s">
        <v>46</v>
      </c>
      <c r="V66" s="378">
        <v>1.5</v>
      </c>
      <c r="W66" s="355" t="s">
        <v>45</v>
      </c>
      <c r="X66" s="379">
        <v>11.8</v>
      </c>
      <c r="Y66" s="355" t="s">
        <v>49</v>
      </c>
      <c r="Z66" s="845"/>
      <c r="AB66" s="842"/>
      <c r="AC66" s="340">
        <f>+AE66*(AH66*AJ66)</f>
        <v>17909.009999999998</v>
      </c>
      <c r="AD66" s="355" t="s">
        <v>44</v>
      </c>
      <c r="AE66" s="341">
        <f>S66</f>
        <v>2790</v>
      </c>
      <c r="AF66" s="355" t="s">
        <v>45</v>
      </c>
      <c r="AG66" s="355" t="s">
        <v>46</v>
      </c>
      <c r="AH66" s="378">
        <v>0.7</v>
      </c>
      <c r="AI66" s="355" t="s">
        <v>45</v>
      </c>
      <c r="AJ66" s="379">
        <v>9.17</v>
      </c>
      <c r="AK66" s="355" t="s">
        <v>49</v>
      </c>
      <c r="AL66" s="845"/>
      <c r="AN66" s="842"/>
      <c r="AO66" s="340">
        <f>+AQ66*(AT66*AV66)</f>
        <v>1657.26</v>
      </c>
      <c r="AP66" s="355" t="s">
        <v>44</v>
      </c>
      <c r="AQ66" s="341">
        <f>AE66</f>
        <v>2790</v>
      </c>
      <c r="AR66" s="355" t="s">
        <v>45</v>
      </c>
      <c r="AS66" s="355" t="s">
        <v>46</v>
      </c>
      <c r="AT66" s="378">
        <v>0.02</v>
      </c>
      <c r="AU66" s="355" t="s">
        <v>45</v>
      </c>
      <c r="AV66" s="379">
        <v>29.7</v>
      </c>
      <c r="AW66" s="355" t="s">
        <v>49</v>
      </c>
      <c r="AX66" s="845"/>
      <c r="AZ66" s="842"/>
      <c r="BA66" s="340">
        <f>'État des Résultats'!Z14-'État des Résultats'!Z45</f>
        <v>49453.822920444851</v>
      </c>
      <c r="BB66" s="355" t="s">
        <v>44</v>
      </c>
      <c r="BC66" s="341">
        <f>G66</f>
        <v>2790</v>
      </c>
      <c r="BD66" s="355" t="s">
        <v>45</v>
      </c>
      <c r="BE66" s="355" t="s">
        <v>46</v>
      </c>
      <c r="BF66" s="342">
        <f>J66</f>
        <v>2.2200000000000002</v>
      </c>
      <c r="BG66" s="355" t="s">
        <v>45</v>
      </c>
      <c r="BH66" s="343">
        <f>BA66/BC66/BF66</f>
        <v>7.9844074591437959</v>
      </c>
      <c r="BI66" s="355" t="s">
        <v>49</v>
      </c>
      <c r="BJ66" s="845"/>
      <c r="BL66" s="842"/>
      <c r="BM66" s="340">
        <f>'État des Résultats'!Z45</f>
        <v>19495.447079555153</v>
      </c>
      <c r="BN66" s="355" t="s">
        <v>44</v>
      </c>
      <c r="BO66" s="341">
        <f>G66</f>
        <v>2790</v>
      </c>
      <c r="BP66" s="355" t="s">
        <v>45</v>
      </c>
      <c r="BQ66" s="355" t="s">
        <v>46</v>
      </c>
      <c r="BR66" s="342">
        <f>J66</f>
        <v>2.2200000000000002</v>
      </c>
      <c r="BS66" s="355" t="s">
        <v>45</v>
      </c>
      <c r="BT66" s="343">
        <f>BM66/BO66/BR66</f>
        <v>3.1475745228381853</v>
      </c>
      <c r="BU66" s="355" t="s">
        <v>49</v>
      </c>
      <c r="BV66" s="845"/>
    </row>
    <row r="67" spans="2:74" ht="17" thickBot="1" x14ac:dyDescent="0.25">
      <c r="B67" s="889"/>
      <c r="C67" s="894"/>
      <c r="D67" s="843"/>
      <c r="E67" s="360"/>
      <c r="F67" s="360"/>
      <c r="G67" s="360"/>
      <c r="H67" s="360"/>
      <c r="I67" s="360"/>
      <c r="J67" s="360"/>
      <c r="K67" s="360"/>
      <c r="L67" s="360"/>
      <c r="M67" s="360"/>
      <c r="N67" s="846"/>
      <c r="P67" s="843"/>
      <c r="Q67" s="360"/>
      <c r="R67" s="360"/>
      <c r="S67" s="360"/>
      <c r="T67" s="360"/>
      <c r="U67" s="360"/>
      <c r="V67" s="360"/>
      <c r="W67" s="360"/>
      <c r="X67" s="360"/>
      <c r="Y67" s="360"/>
      <c r="Z67" s="846"/>
      <c r="AB67" s="843"/>
      <c r="AC67" s="360"/>
      <c r="AD67" s="360"/>
      <c r="AE67" s="360"/>
      <c r="AF67" s="360"/>
      <c r="AG67" s="360"/>
      <c r="AH67" s="360"/>
      <c r="AI67" s="360"/>
      <c r="AJ67" s="360"/>
      <c r="AK67" s="360"/>
      <c r="AL67" s="846"/>
      <c r="AN67" s="843"/>
      <c r="AO67" s="360"/>
      <c r="AP67" s="360"/>
      <c r="AQ67" s="360"/>
      <c r="AR67" s="360"/>
      <c r="AS67" s="360"/>
      <c r="AT67" s="360"/>
      <c r="AU67" s="360"/>
      <c r="AV67" s="360"/>
      <c r="AW67" s="360"/>
      <c r="AX67" s="846"/>
      <c r="AZ67" s="843"/>
      <c r="BA67" s="360"/>
      <c r="BB67" s="360"/>
      <c r="BC67" s="360"/>
      <c r="BD67" s="360"/>
      <c r="BE67" s="360"/>
      <c r="BF67" s="360"/>
      <c r="BG67" s="360"/>
      <c r="BH67" s="360"/>
      <c r="BI67" s="360"/>
      <c r="BJ67" s="846"/>
      <c r="BL67" s="843"/>
      <c r="BM67" s="360"/>
      <c r="BN67" s="360"/>
      <c r="BO67" s="360"/>
      <c r="BP67" s="360"/>
      <c r="BQ67" s="360"/>
      <c r="BR67" s="360"/>
      <c r="BS67" s="360"/>
      <c r="BT67" s="360"/>
      <c r="BU67" s="360"/>
      <c r="BV67" s="846"/>
    </row>
    <row r="68" spans="2:74" ht="5" customHeight="1" thickTop="1" thickBot="1" x14ac:dyDescent="0.2">
      <c r="B68" s="889"/>
      <c r="C68" s="210"/>
    </row>
    <row r="69" spans="2:74" ht="17" thickTop="1" x14ac:dyDescent="0.2">
      <c r="B69" s="889"/>
      <c r="C69" s="894"/>
      <c r="D69" s="841" t="s">
        <v>42</v>
      </c>
      <c r="E69" s="353"/>
      <c r="F69" s="353"/>
      <c r="G69" s="353"/>
      <c r="H69" s="353"/>
      <c r="I69" s="353"/>
      <c r="J69" s="353"/>
      <c r="K69" s="353"/>
      <c r="L69" s="353"/>
      <c r="M69" s="353"/>
      <c r="N69" s="844" t="s">
        <v>43</v>
      </c>
      <c r="P69" s="841" t="s">
        <v>42</v>
      </c>
      <c r="Q69" s="353"/>
      <c r="R69" s="353"/>
      <c r="S69" s="353"/>
      <c r="T69" s="353"/>
      <c r="U69" s="353"/>
      <c r="V69" s="353"/>
      <c r="W69" s="353"/>
      <c r="X69" s="353"/>
      <c r="Y69" s="353"/>
      <c r="Z69" s="844" t="s">
        <v>43</v>
      </c>
      <c r="AB69" s="841" t="s">
        <v>42</v>
      </c>
      <c r="AC69" s="353"/>
      <c r="AD69" s="353"/>
      <c r="AE69" s="353"/>
      <c r="AF69" s="353"/>
      <c r="AG69" s="353"/>
      <c r="AH69" s="353"/>
      <c r="AI69" s="353"/>
      <c r="AJ69" s="353"/>
      <c r="AK69" s="353"/>
      <c r="AL69" s="844" t="s">
        <v>43</v>
      </c>
      <c r="AN69" s="841" t="s">
        <v>42</v>
      </c>
      <c r="AO69" s="353"/>
      <c r="AP69" s="353"/>
      <c r="AQ69" s="353"/>
      <c r="AR69" s="353"/>
      <c r="AS69" s="353"/>
      <c r="AT69" s="353"/>
      <c r="AU69" s="353"/>
      <c r="AV69" s="353"/>
      <c r="AW69" s="353"/>
      <c r="AX69" s="844" t="s">
        <v>43</v>
      </c>
      <c r="AZ69" s="841" t="s">
        <v>42</v>
      </c>
      <c r="BA69" s="353"/>
      <c r="BB69" s="353"/>
      <c r="BC69" s="353"/>
      <c r="BD69" s="353"/>
      <c r="BE69" s="353"/>
      <c r="BF69" s="353"/>
      <c r="BG69" s="353"/>
      <c r="BH69" s="353"/>
      <c r="BI69" s="353"/>
      <c r="BJ69" s="844" t="s">
        <v>43</v>
      </c>
      <c r="BL69" s="841" t="s">
        <v>42</v>
      </c>
      <c r="BM69" s="353"/>
      <c r="BN69" s="353"/>
      <c r="BO69" s="353"/>
      <c r="BP69" s="353"/>
      <c r="BQ69" s="353"/>
      <c r="BR69" s="353"/>
      <c r="BS69" s="353"/>
      <c r="BT69" s="353"/>
      <c r="BU69" s="353"/>
      <c r="BV69" s="844" t="s">
        <v>43</v>
      </c>
    </row>
    <row r="70" spans="2:74" ht="16" x14ac:dyDescent="0.2">
      <c r="B70" s="889"/>
      <c r="C70" s="894"/>
      <c r="D70" s="842"/>
      <c r="E70" s="354"/>
      <c r="F70" s="354"/>
      <c r="G70" s="354"/>
      <c r="H70" s="354"/>
      <c r="I70" s="354"/>
      <c r="J70" s="354"/>
      <c r="K70" s="354"/>
      <c r="L70" s="354"/>
      <c r="M70" s="354"/>
      <c r="N70" s="845"/>
      <c r="P70" s="842"/>
      <c r="Q70" s="354"/>
      <c r="R70" s="354"/>
      <c r="S70" s="354"/>
      <c r="T70" s="354"/>
      <c r="U70" s="354"/>
      <c r="V70" s="354"/>
      <c r="W70" s="354"/>
      <c r="X70" s="354"/>
      <c r="Y70" s="354"/>
      <c r="Z70" s="845"/>
      <c r="AB70" s="842"/>
      <c r="AC70" s="354"/>
      <c r="AD70" s="354"/>
      <c r="AE70" s="354"/>
      <c r="AF70" s="354"/>
      <c r="AG70" s="354"/>
      <c r="AH70" s="354"/>
      <c r="AI70" s="354"/>
      <c r="AJ70" s="354"/>
      <c r="AK70" s="354"/>
      <c r="AL70" s="845"/>
      <c r="AN70" s="842"/>
      <c r="AO70" s="354"/>
      <c r="AP70" s="354"/>
      <c r="AQ70" s="354"/>
      <c r="AR70" s="354"/>
      <c r="AS70" s="354"/>
      <c r="AT70" s="354"/>
      <c r="AU70" s="354"/>
      <c r="AV70" s="354"/>
      <c r="AW70" s="354"/>
      <c r="AX70" s="845"/>
      <c r="AZ70" s="842"/>
      <c r="BA70" s="354"/>
      <c r="BB70" s="354"/>
      <c r="BC70" s="354"/>
      <c r="BD70" s="354"/>
      <c r="BE70" s="354"/>
      <c r="BF70" s="354"/>
      <c r="BG70" s="354"/>
      <c r="BH70" s="354"/>
      <c r="BI70" s="354"/>
      <c r="BJ70" s="845"/>
      <c r="BL70" s="842"/>
      <c r="BM70" s="354"/>
      <c r="BN70" s="354"/>
      <c r="BO70" s="354"/>
      <c r="BP70" s="354"/>
      <c r="BQ70" s="354"/>
      <c r="BR70" s="354"/>
      <c r="BS70" s="354"/>
      <c r="BT70" s="354"/>
      <c r="BU70" s="354"/>
      <c r="BV70" s="845"/>
    </row>
    <row r="71" spans="2:74" ht="21" x14ac:dyDescent="0.25">
      <c r="B71" s="889"/>
      <c r="C71" s="894"/>
      <c r="D71" s="842"/>
      <c r="E71" s="355" t="str">
        <f>E63</f>
        <v>Demande mensuelle</v>
      </c>
      <c r="F71" s="355" t="s">
        <v>44</v>
      </c>
      <c r="G71" s="355" t="str">
        <f>G63</f>
        <v>Achalandage mensuel</v>
      </c>
      <c r="H71" s="355" t="s">
        <v>45</v>
      </c>
      <c r="I71" s="355" t="s">
        <v>46</v>
      </c>
      <c r="J71" s="355" t="str">
        <f>J63</f>
        <v>Um/A</v>
      </c>
      <c r="K71" s="355" t="s">
        <v>45</v>
      </c>
      <c r="L71" s="355" t="str">
        <f>L63</f>
        <v>PmO</v>
      </c>
      <c r="M71" s="355" t="s">
        <v>49</v>
      </c>
      <c r="N71" s="845"/>
      <c r="P71" s="842"/>
      <c r="Q71" s="355" t="str">
        <f>Q63</f>
        <v>Demande mensuelle</v>
      </c>
      <c r="R71" s="355" t="s">
        <v>44</v>
      </c>
      <c r="S71" s="355" t="str">
        <f>S63</f>
        <v>Achalandage mensuel</v>
      </c>
      <c r="T71" s="355" t="s">
        <v>45</v>
      </c>
      <c r="U71" s="355" t="s">
        <v>46</v>
      </c>
      <c r="V71" s="355" t="str">
        <f>V63</f>
        <v>Um/A</v>
      </c>
      <c r="W71" s="355" t="s">
        <v>45</v>
      </c>
      <c r="X71" s="355" t="str">
        <f>X63</f>
        <v>PmO</v>
      </c>
      <c r="Y71" s="355" t="s">
        <v>49</v>
      </c>
      <c r="Z71" s="845"/>
      <c r="AB71" s="842"/>
      <c r="AC71" s="355" t="str">
        <f>AC63</f>
        <v>Demande mensuelle</v>
      </c>
      <c r="AD71" s="355" t="s">
        <v>44</v>
      </c>
      <c r="AE71" s="355" t="str">
        <f>AE63</f>
        <v>Achalandage mensuel</v>
      </c>
      <c r="AF71" s="355" t="s">
        <v>45</v>
      </c>
      <c r="AG71" s="355" t="s">
        <v>46</v>
      </c>
      <c r="AH71" s="355" t="str">
        <f>AH63</f>
        <v>Um/A</v>
      </c>
      <c r="AI71" s="355" t="s">
        <v>45</v>
      </c>
      <c r="AJ71" s="355" t="str">
        <f>AJ63</f>
        <v>PmO</v>
      </c>
      <c r="AK71" s="355" t="s">
        <v>49</v>
      </c>
      <c r="AL71" s="845"/>
      <c r="AN71" s="842"/>
      <c r="AO71" s="355" t="str">
        <f>AO63</f>
        <v>Demande mensuelle</v>
      </c>
      <c r="AP71" s="355" t="s">
        <v>44</v>
      </c>
      <c r="AQ71" s="355" t="str">
        <f>AQ63</f>
        <v>Achalandage mensuel</v>
      </c>
      <c r="AR71" s="355" t="s">
        <v>45</v>
      </c>
      <c r="AS71" s="355" t="s">
        <v>46</v>
      </c>
      <c r="AT71" s="355" t="str">
        <f>AT63</f>
        <v>Um/A</v>
      </c>
      <c r="AU71" s="355" t="s">
        <v>45</v>
      </c>
      <c r="AV71" s="355" t="str">
        <f>AV63</f>
        <v>PmO</v>
      </c>
      <c r="AW71" s="355" t="s">
        <v>49</v>
      </c>
      <c r="AX71" s="845"/>
      <c r="AZ71" s="842"/>
      <c r="BA71" s="355" t="str">
        <f>BA63</f>
        <v>Coût mensuel</v>
      </c>
      <c r="BB71" s="355" t="s">
        <v>44</v>
      </c>
      <c r="BC71" s="355" t="str">
        <f>BC63</f>
        <v>Achalandage mensuel</v>
      </c>
      <c r="BD71" s="355" t="s">
        <v>45</v>
      </c>
      <c r="BE71" s="355" t="s">
        <v>46</v>
      </c>
      <c r="BF71" s="355" t="str">
        <f>BF63</f>
        <v>Um/A</v>
      </c>
      <c r="BG71" s="355" t="s">
        <v>45</v>
      </c>
      <c r="BH71" s="355" t="str">
        <f>BH63</f>
        <v>CmO</v>
      </c>
      <c r="BI71" s="355" t="s">
        <v>49</v>
      </c>
      <c r="BJ71" s="845"/>
      <c r="BL71" s="842"/>
      <c r="BM71" s="355" t="str">
        <f>BM63</f>
        <v>Bénéfice mensuel</v>
      </c>
      <c r="BN71" s="355" t="s">
        <v>44</v>
      </c>
      <c r="BO71" s="355" t="str">
        <f>BO63</f>
        <v>Achalandage mensuel</v>
      </c>
      <c r="BP71" s="355" t="s">
        <v>45</v>
      </c>
      <c r="BQ71" s="355" t="s">
        <v>46</v>
      </c>
      <c r="BR71" s="355" t="str">
        <f>BR63</f>
        <v>Um/A</v>
      </c>
      <c r="BS71" s="355" t="s">
        <v>45</v>
      </c>
      <c r="BT71" s="355" t="str">
        <f>BT63</f>
        <v>BmO</v>
      </c>
      <c r="BU71" s="355" t="s">
        <v>49</v>
      </c>
      <c r="BV71" s="845"/>
    </row>
    <row r="72" spans="2:74" ht="19" x14ac:dyDescent="0.25">
      <c r="B72" s="889"/>
      <c r="C72" s="894"/>
      <c r="D72" s="842"/>
      <c r="E72" s="356" t="s">
        <v>2</v>
      </c>
      <c r="F72" s="357"/>
      <c r="G72" s="356"/>
      <c r="H72" s="357"/>
      <c r="I72" s="357"/>
      <c r="J72" s="357"/>
      <c r="K72" s="357"/>
      <c r="L72" s="357"/>
      <c r="M72" s="357"/>
      <c r="N72" s="845"/>
      <c r="P72" s="842"/>
      <c r="Q72" s="356" t="s">
        <v>2</v>
      </c>
      <c r="R72" s="357"/>
      <c r="S72" s="356"/>
      <c r="T72" s="357"/>
      <c r="U72" s="357"/>
      <c r="V72" s="357"/>
      <c r="W72" s="357"/>
      <c r="X72" s="357"/>
      <c r="Y72" s="357"/>
      <c r="Z72" s="845"/>
      <c r="AB72" s="842"/>
      <c r="AC72" s="356" t="s">
        <v>2</v>
      </c>
      <c r="AD72" s="357"/>
      <c r="AE72" s="356"/>
      <c r="AF72" s="357"/>
      <c r="AG72" s="357"/>
      <c r="AH72" s="357"/>
      <c r="AI72" s="357"/>
      <c r="AJ72" s="357"/>
      <c r="AK72" s="357"/>
      <c r="AL72" s="845"/>
      <c r="AN72" s="842"/>
      <c r="AO72" s="356" t="s">
        <v>2</v>
      </c>
      <c r="AP72" s="357"/>
      <c r="AQ72" s="356"/>
      <c r="AR72" s="357"/>
      <c r="AS72" s="357"/>
      <c r="AT72" s="357"/>
      <c r="AU72" s="357"/>
      <c r="AV72" s="357"/>
      <c r="AW72" s="357"/>
      <c r="AX72" s="845"/>
      <c r="AZ72" s="842"/>
      <c r="BA72" s="356" t="s">
        <v>2</v>
      </c>
      <c r="BB72" s="357"/>
      <c r="BC72" s="356"/>
      <c r="BD72" s="357"/>
      <c r="BE72" s="357"/>
      <c r="BF72" s="357"/>
      <c r="BG72" s="357"/>
      <c r="BH72" s="357"/>
      <c r="BI72" s="357"/>
      <c r="BJ72" s="845"/>
      <c r="BL72" s="842"/>
      <c r="BM72" s="356" t="s">
        <v>2</v>
      </c>
      <c r="BN72" s="357"/>
      <c r="BO72" s="356"/>
      <c r="BP72" s="357"/>
      <c r="BQ72" s="357"/>
      <c r="BR72" s="357"/>
      <c r="BS72" s="357"/>
      <c r="BT72" s="357"/>
      <c r="BU72" s="357"/>
      <c r="BV72" s="845"/>
    </row>
    <row r="73" spans="2:74" ht="26" x14ac:dyDescent="0.3">
      <c r="B73" s="889"/>
      <c r="C73" s="894"/>
      <c r="D73" s="842"/>
      <c r="E73" s="358" t="str">
        <f>E65</f>
        <v>D</v>
      </c>
      <c r="F73" s="359"/>
      <c r="G73" s="358" t="str">
        <f>G65</f>
        <v>A</v>
      </c>
      <c r="H73" s="359"/>
      <c r="I73" s="359"/>
      <c r="J73" s="358" t="str">
        <f>+J71</f>
        <v>Um/A</v>
      </c>
      <c r="K73" s="359"/>
      <c r="L73" s="358" t="str">
        <f>+L71</f>
        <v>PmO</v>
      </c>
      <c r="M73" s="359"/>
      <c r="N73" s="845"/>
      <c r="P73" s="842"/>
      <c r="Q73" s="358" t="str">
        <f>Q65</f>
        <v>D</v>
      </c>
      <c r="R73" s="359"/>
      <c r="S73" s="358" t="str">
        <f>S65</f>
        <v>A</v>
      </c>
      <c r="T73" s="359"/>
      <c r="U73" s="359"/>
      <c r="V73" s="358" t="str">
        <f>+V71</f>
        <v>Um/A</v>
      </c>
      <c r="W73" s="359"/>
      <c r="X73" s="358" t="str">
        <f>+X71</f>
        <v>PmO</v>
      </c>
      <c r="Y73" s="359"/>
      <c r="Z73" s="845"/>
      <c r="AB73" s="842"/>
      <c r="AC73" s="358" t="str">
        <f>AC65</f>
        <v>D</v>
      </c>
      <c r="AD73" s="359"/>
      <c r="AE73" s="358" t="str">
        <f>AE65</f>
        <v>A</v>
      </c>
      <c r="AF73" s="359"/>
      <c r="AG73" s="359"/>
      <c r="AH73" s="358" t="str">
        <f>+AH71</f>
        <v>Um/A</v>
      </c>
      <c r="AI73" s="359"/>
      <c r="AJ73" s="358" t="str">
        <f>+AJ71</f>
        <v>PmO</v>
      </c>
      <c r="AK73" s="359"/>
      <c r="AL73" s="845"/>
      <c r="AN73" s="842"/>
      <c r="AO73" s="358" t="str">
        <f>AO65</f>
        <v>D</v>
      </c>
      <c r="AP73" s="359"/>
      <c r="AQ73" s="358" t="str">
        <f>AQ65</f>
        <v>A</v>
      </c>
      <c r="AR73" s="359"/>
      <c r="AS73" s="359"/>
      <c r="AT73" s="358" t="str">
        <f>+AT71</f>
        <v>Um/A</v>
      </c>
      <c r="AU73" s="359"/>
      <c r="AV73" s="358" t="str">
        <f>+AV71</f>
        <v>PmO</v>
      </c>
      <c r="AW73" s="359"/>
      <c r="AX73" s="845"/>
      <c r="AZ73" s="842"/>
      <c r="BA73" s="358" t="str">
        <f>BA65</f>
        <v xml:space="preserve">C </v>
      </c>
      <c r="BB73" s="359"/>
      <c r="BC73" s="358" t="str">
        <f>BC65</f>
        <v>A</v>
      </c>
      <c r="BD73" s="359"/>
      <c r="BE73" s="359"/>
      <c r="BF73" s="358" t="str">
        <f>+BF71</f>
        <v>Um/A</v>
      </c>
      <c r="BG73" s="359"/>
      <c r="BH73" s="358" t="str">
        <f>+BH71</f>
        <v>CmO</v>
      </c>
      <c r="BI73" s="359"/>
      <c r="BJ73" s="845"/>
      <c r="BL73" s="842"/>
      <c r="BM73" s="358" t="str">
        <f>BM65</f>
        <v xml:space="preserve">B </v>
      </c>
      <c r="BN73" s="359"/>
      <c r="BO73" s="358" t="str">
        <f>BO65</f>
        <v>A</v>
      </c>
      <c r="BP73" s="359"/>
      <c r="BQ73" s="359"/>
      <c r="BR73" s="358" t="str">
        <f>+BR71</f>
        <v>Um/A</v>
      </c>
      <c r="BS73" s="359"/>
      <c r="BT73" s="358" t="str">
        <f>+BT71</f>
        <v>BmO</v>
      </c>
      <c r="BU73" s="359"/>
      <c r="BV73" s="845"/>
    </row>
    <row r="74" spans="2:74" ht="21" x14ac:dyDescent="0.25">
      <c r="B74" s="889"/>
      <c r="C74" s="894"/>
      <c r="D74" s="842"/>
      <c r="E74" s="340">
        <f>+Q74+AC74+AO74</f>
        <v>44483.4</v>
      </c>
      <c r="F74" s="355" t="s">
        <v>44</v>
      </c>
      <c r="G74" s="341">
        <f>'% Occupation'!L19</f>
        <v>1800</v>
      </c>
      <c r="H74" s="355" t="s">
        <v>45</v>
      </c>
      <c r="I74" s="355" t="s">
        <v>46</v>
      </c>
      <c r="J74" s="342">
        <f>+V74+AH74+AT74</f>
        <v>2.2200000000000002</v>
      </c>
      <c r="K74" s="355" t="s">
        <v>45</v>
      </c>
      <c r="L74" s="343">
        <f>E74/G74/J74</f>
        <v>11.131981981981982</v>
      </c>
      <c r="M74" s="355" t="s">
        <v>49</v>
      </c>
      <c r="N74" s="845"/>
      <c r="P74" s="842"/>
      <c r="Q74" s="340">
        <f>+S74*(V74*X74)</f>
        <v>31860.000000000004</v>
      </c>
      <c r="R74" s="355" t="s">
        <v>44</v>
      </c>
      <c r="S74" s="341">
        <f>G74</f>
        <v>1800</v>
      </c>
      <c r="T74" s="355" t="s">
        <v>45</v>
      </c>
      <c r="U74" s="355" t="s">
        <v>46</v>
      </c>
      <c r="V74" s="378">
        <v>1.5</v>
      </c>
      <c r="W74" s="355" t="s">
        <v>45</v>
      </c>
      <c r="X74" s="379">
        <v>11.8</v>
      </c>
      <c r="Y74" s="355" t="s">
        <v>49</v>
      </c>
      <c r="Z74" s="845"/>
      <c r="AB74" s="842"/>
      <c r="AC74" s="340">
        <f>+AE74*(AH74*AJ74)</f>
        <v>11554.199999999999</v>
      </c>
      <c r="AD74" s="355" t="s">
        <v>44</v>
      </c>
      <c r="AE74" s="341">
        <f>S74</f>
        <v>1800</v>
      </c>
      <c r="AF74" s="355" t="s">
        <v>45</v>
      </c>
      <c r="AG74" s="355" t="s">
        <v>46</v>
      </c>
      <c r="AH74" s="378">
        <v>0.7</v>
      </c>
      <c r="AI74" s="355" t="s">
        <v>45</v>
      </c>
      <c r="AJ74" s="379">
        <v>9.17</v>
      </c>
      <c r="AK74" s="355" t="s">
        <v>49</v>
      </c>
      <c r="AL74" s="845"/>
      <c r="AN74" s="842"/>
      <c r="AO74" s="340">
        <f>+AQ74*(AT74*AV74)</f>
        <v>1069.2</v>
      </c>
      <c r="AP74" s="355" t="s">
        <v>44</v>
      </c>
      <c r="AQ74" s="341">
        <f>AE74</f>
        <v>1800</v>
      </c>
      <c r="AR74" s="355" t="s">
        <v>45</v>
      </c>
      <c r="AS74" s="355" t="s">
        <v>46</v>
      </c>
      <c r="AT74" s="378">
        <v>0.02</v>
      </c>
      <c r="AU74" s="355" t="s">
        <v>45</v>
      </c>
      <c r="AV74" s="379">
        <v>29.7</v>
      </c>
      <c r="AW74" s="355" t="s">
        <v>49</v>
      </c>
      <c r="AX74" s="845"/>
      <c r="AZ74" s="842"/>
      <c r="BA74" s="340">
        <f>'État des Résultats'!AC14-'État des Résultats'!AC45</f>
        <v>37473.3599486741</v>
      </c>
      <c r="BB74" s="355" t="s">
        <v>44</v>
      </c>
      <c r="BC74" s="341">
        <f>G74</f>
        <v>1800</v>
      </c>
      <c r="BD74" s="355" t="s">
        <v>45</v>
      </c>
      <c r="BE74" s="355" t="s">
        <v>46</v>
      </c>
      <c r="BF74" s="342">
        <f>J74</f>
        <v>2.2200000000000002</v>
      </c>
      <c r="BG74" s="355" t="s">
        <v>45</v>
      </c>
      <c r="BH74" s="343">
        <f>BA74/BC74/BF74</f>
        <v>9.3777177048733975</v>
      </c>
      <c r="BI74" s="355" t="s">
        <v>49</v>
      </c>
      <c r="BJ74" s="845"/>
      <c r="BL74" s="842"/>
      <c r="BM74" s="340">
        <f>'État des Résultats'!AC45</f>
        <v>7010.0400513259046</v>
      </c>
      <c r="BN74" s="355" t="s">
        <v>44</v>
      </c>
      <c r="BO74" s="341">
        <f>G74</f>
        <v>1800</v>
      </c>
      <c r="BP74" s="355" t="s">
        <v>45</v>
      </c>
      <c r="BQ74" s="355" t="s">
        <v>46</v>
      </c>
      <c r="BR74" s="342">
        <f>J74</f>
        <v>2.2200000000000002</v>
      </c>
      <c r="BS74" s="355" t="s">
        <v>45</v>
      </c>
      <c r="BT74" s="343">
        <f>BM74/BO74/BR74</f>
        <v>1.7542642771085846</v>
      </c>
      <c r="BU74" s="355" t="s">
        <v>49</v>
      </c>
      <c r="BV74" s="845"/>
    </row>
    <row r="75" spans="2:74" ht="17" thickBot="1" x14ac:dyDescent="0.25">
      <c r="B75" s="889"/>
      <c r="C75" s="894"/>
      <c r="D75" s="843"/>
      <c r="E75" s="360"/>
      <c r="F75" s="360"/>
      <c r="G75" s="360"/>
      <c r="H75" s="360"/>
      <c r="I75" s="360"/>
      <c r="J75" s="360"/>
      <c r="K75" s="360"/>
      <c r="L75" s="360"/>
      <c r="M75" s="360"/>
      <c r="N75" s="846"/>
      <c r="P75" s="843"/>
      <c r="Q75" s="360"/>
      <c r="R75" s="360"/>
      <c r="S75" s="360"/>
      <c r="T75" s="360"/>
      <c r="U75" s="360"/>
      <c r="V75" s="360"/>
      <c r="W75" s="360"/>
      <c r="X75" s="360"/>
      <c r="Y75" s="360"/>
      <c r="Z75" s="846"/>
      <c r="AB75" s="843"/>
      <c r="AC75" s="360"/>
      <c r="AD75" s="360"/>
      <c r="AE75" s="360"/>
      <c r="AF75" s="360"/>
      <c r="AG75" s="360"/>
      <c r="AH75" s="360"/>
      <c r="AI75" s="360"/>
      <c r="AJ75" s="360"/>
      <c r="AK75" s="360"/>
      <c r="AL75" s="846"/>
      <c r="AN75" s="843"/>
      <c r="AO75" s="360"/>
      <c r="AP75" s="360"/>
      <c r="AQ75" s="360"/>
      <c r="AR75" s="360"/>
      <c r="AS75" s="360"/>
      <c r="AT75" s="360"/>
      <c r="AU75" s="360"/>
      <c r="AV75" s="360"/>
      <c r="AW75" s="360"/>
      <c r="AX75" s="846"/>
      <c r="AZ75" s="843"/>
      <c r="BA75" s="360"/>
      <c r="BB75" s="360"/>
      <c r="BC75" s="360"/>
      <c r="BD75" s="360"/>
      <c r="BE75" s="360"/>
      <c r="BF75" s="360"/>
      <c r="BG75" s="360"/>
      <c r="BH75" s="360"/>
      <c r="BI75" s="360"/>
      <c r="BJ75" s="846"/>
      <c r="BL75" s="843"/>
      <c r="BM75" s="360"/>
      <c r="BN75" s="360"/>
      <c r="BO75" s="360"/>
      <c r="BP75" s="360"/>
      <c r="BQ75" s="360"/>
      <c r="BR75" s="360"/>
      <c r="BS75" s="360"/>
      <c r="BT75" s="360"/>
      <c r="BU75" s="360"/>
      <c r="BV75" s="846"/>
    </row>
    <row r="76" spans="2:74" ht="10" customHeight="1" thickTop="1" thickBot="1" x14ac:dyDescent="0.2">
      <c r="C76" s="210"/>
    </row>
    <row r="77" spans="2:74" ht="17" thickTop="1" x14ac:dyDescent="0.2">
      <c r="B77" s="890">
        <v>4</v>
      </c>
      <c r="C77" s="893"/>
      <c r="D77" s="835" t="s">
        <v>42</v>
      </c>
      <c r="E77" s="361"/>
      <c r="F77" s="361"/>
      <c r="G77" s="361"/>
      <c r="H77" s="361"/>
      <c r="I77" s="361"/>
      <c r="J77" s="361"/>
      <c r="K77" s="361"/>
      <c r="L77" s="361"/>
      <c r="M77" s="361"/>
      <c r="N77" s="838" t="s">
        <v>43</v>
      </c>
      <c r="P77" s="835" t="s">
        <v>42</v>
      </c>
      <c r="Q77" s="361"/>
      <c r="R77" s="361"/>
      <c r="S77" s="361"/>
      <c r="T77" s="361"/>
      <c r="U77" s="361"/>
      <c r="V77" s="361"/>
      <c r="W77" s="361"/>
      <c r="X77" s="361"/>
      <c r="Y77" s="361"/>
      <c r="Z77" s="838" t="s">
        <v>43</v>
      </c>
      <c r="AB77" s="835" t="s">
        <v>42</v>
      </c>
      <c r="AC77" s="361"/>
      <c r="AD77" s="361"/>
      <c r="AE77" s="361"/>
      <c r="AF77" s="361"/>
      <c r="AG77" s="361"/>
      <c r="AH77" s="361"/>
      <c r="AI77" s="361"/>
      <c r="AJ77" s="361"/>
      <c r="AK77" s="361"/>
      <c r="AL77" s="838" t="s">
        <v>43</v>
      </c>
      <c r="AN77" s="835" t="s">
        <v>42</v>
      </c>
      <c r="AO77" s="361"/>
      <c r="AP77" s="361"/>
      <c r="AQ77" s="361"/>
      <c r="AR77" s="361"/>
      <c r="AS77" s="361"/>
      <c r="AT77" s="361"/>
      <c r="AU77" s="361"/>
      <c r="AV77" s="361"/>
      <c r="AW77" s="361"/>
      <c r="AX77" s="838" t="s">
        <v>43</v>
      </c>
      <c r="AZ77" s="835" t="s">
        <v>42</v>
      </c>
      <c r="BA77" s="361"/>
      <c r="BB77" s="361"/>
      <c r="BC77" s="361"/>
      <c r="BD77" s="361"/>
      <c r="BE77" s="361"/>
      <c r="BF77" s="361"/>
      <c r="BG77" s="361"/>
      <c r="BH77" s="361"/>
      <c r="BI77" s="361"/>
      <c r="BJ77" s="838" t="s">
        <v>43</v>
      </c>
      <c r="BL77" s="835" t="s">
        <v>42</v>
      </c>
      <c r="BM77" s="361"/>
      <c r="BN77" s="361"/>
      <c r="BO77" s="361"/>
      <c r="BP77" s="361"/>
      <c r="BQ77" s="361"/>
      <c r="BR77" s="361"/>
      <c r="BS77" s="361"/>
      <c r="BT77" s="361"/>
      <c r="BU77" s="361"/>
      <c r="BV77" s="838" t="s">
        <v>43</v>
      </c>
    </row>
    <row r="78" spans="2:74" ht="16" x14ac:dyDescent="0.2">
      <c r="B78" s="891"/>
      <c r="C78" s="893"/>
      <c r="D78" s="836"/>
      <c r="E78" s="362"/>
      <c r="F78" s="362"/>
      <c r="G78" s="362"/>
      <c r="H78" s="362"/>
      <c r="I78" s="362"/>
      <c r="J78" s="362"/>
      <c r="K78" s="362"/>
      <c r="L78" s="362"/>
      <c r="M78" s="362"/>
      <c r="N78" s="839"/>
      <c r="P78" s="836"/>
      <c r="Q78" s="362"/>
      <c r="R78" s="362"/>
      <c r="S78" s="362"/>
      <c r="T78" s="362"/>
      <c r="U78" s="362"/>
      <c r="V78" s="362"/>
      <c r="W78" s="362"/>
      <c r="X78" s="362"/>
      <c r="Y78" s="362"/>
      <c r="Z78" s="839"/>
      <c r="AB78" s="836"/>
      <c r="AC78" s="362"/>
      <c r="AD78" s="362"/>
      <c r="AE78" s="362"/>
      <c r="AF78" s="362"/>
      <c r="AG78" s="362"/>
      <c r="AH78" s="362"/>
      <c r="AI78" s="362"/>
      <c r="AJ78" s="362"/>
      <c r="AK78" s="362"/>
      <c r="AL78" s="839"/>
      <c r="AN78" s="836"/>
      <c r="AO78" s="362"/>
      <c r="AP78" s="362"/>
      <c r="AQ78" s="362"/>
      <c r="AR78" s="362"/>
      <c r="AS78" s="362"/>
      <c r="AT78" s="362"/>
      <c r="AU78" s="362"/>
      <c r="AV78" s="362"/>
      <c r="AW78" s="362"/>
      <c r="AX78" s="839"/>
      <c r="AZ78" s="836"/>
      <c r="BA78" s="362"/>
      <c r="BB78" s="362"/>
      <c r="BC78" s="362"/>
      <c r="BD78" s="362"/>
      <c r="BE78" s="362"/>
      <c r="BF78" s="362"/>
      <c r="BG78" s="362"/>
      <c r="BH78" s="362"/>
      <c r="BI78" s="362"/>
      <c r="BJ78" s="839"/>
      <c r="BL78" s="836"/>
      <c r="BM78" s="362"/>
      <c r="BN78" s="362"/>
      <c r="BO78" s="362"/>
      <c r="BP78" s="362"/>
      <c r="BQ78" s="362"/>
      <c r="BR78" s="362"/>
      <c r="BS78" s="362"/>
      <c r="BT78" s="362"/>
      <c r="BU78" s="362"/>
      <c r="BV78" s="839"/>
    </row>
    <row r="79" spans="2:74" ht="21" x14ac:dyDescent="0.25">
      <c r="B79" s="891"/>
      <c r="C79" s="893"/>
      <c r="D79" s="836"/>
      <c r="E79" s="363" t="str">
        <f>E71</f>
        <v>Demande mensuelle</v>
      </c>
      <c r="F79" s="363" t="s">
        <v>44</v>
      </c>
      <c r="G79" s="363" t="str">
        <f>G71</f>
        <v>Achalandage mensuel</v>
      </c>
      <c r="H79" s="363" t="s">
        <v>45</v>
      </c>
      <c r="I79" s="363" t="s">
        <v>46</v>
      </c>
      <c r="J79" s="363" t="str">
        <f>J71</f>
        <v>Um/A</v>
      </c>
      <c r="K79" s="363" t="s">
        <v>45</v>
      </c>
      <c r="L79" s="363" t="str">
        <f>L71</f>
        <v>PmO</v>
      </c>
      <c r="M79" s="363" t="s">
        <v>49</v>
      </c>
      <c r="N79" s="839"/>
      <c r="P79" s="836"/>
      <c r="Q79" s="363" t="str">
        <f>Q71</f>
        <v>Demande mensuelle</v>
      </c>
      <c r="R79" s="363" t="s">
        <v>44</v>
      </c>
      <c r="S79" s="363" t="str">
        <f>S71</f>
        <v>Achalandage mensuel</v>
      </c>
      <c r="T79" s="363" t="s">
        <v>45</v>
      </c>
      <c r="U79" s="363" t="s">
        <v>46</v>
      </c>
      <c r="V79" s="363" t="str">
        <f>V71</f>
        <v>Um/A</v>
      </c>
      <c r="W79" s="363" t="s">
        <v>45</v>
      </c>
      <c r="X79" s="363" t="str">
        <f>X71</f>
        <v>PmO</v>
      </c>
      <c r="Y79" s="363" t="s">
        <v>49</v>
      </c>
      <c r="Z79" s="839"/>
      <c r="AB79" s="836"/>
      <c r="AC79" s="363" t="str">
        <f>AC71</f>
        <v>Demande mensuelle</v>
      </c>
      <c r="AD79" s="363" t="s">
        <v>44</v>
      </c>
      <c r="AE79" s="363" t="str">
        <f>AE71</f>
        <v>Achalandage mensuel</v>
      </c>
      <c r="AF79" s="363" t="s">
        <v>45</v>
      </c>
      <c r="AG79" s="363" t="s">
        <v>46</v>
      </c>
      <c r="AH79" s="363" t="str">
        <f>AH71</f>
        <v>Um/A</v>
      </c>
      <c r="AI79" s="363" t="s">
        <v>45</v>
      </c>
      <c r="AJ79" s="363" t="str">
        <f>AJ71</f>
        <v>PmO</v>
      </c>
      <c r="AK79" s="363" t="s">
        <v>49</v>
      </c>
      <c r="AL79" s="839"/>
      <c r="AN79" s="836"/>
      <c r="AO79" s="363" t="str">
        <f>AO71</f>
        <v>Demande mensuelle</v>
      </c>
      <c r="AP79" s="363" t="s">
        <v>44</v>
      </c>
      <c r="AQ79" s="363" t="str">
        <f>AQ71</f>
        <v>Achalandage mensuel</v>
      </c>
      <c r="AR79" s="363" t="s">
        <v>45</v>
      </c>
      <c r="AS79" s="363" t="s">
        <v>46</v>
      </c>
      <c r="AT79" s="363" t="str">
        <f>AT71</f>
        <v>Um/A</v>
      </c>
      <c r="AU79" s="363" t="s">
        <v>45</v>
      </c>
      <c r="AV79" s="363" t="str">
        <f>AV71</f>
        <v>PmO</v>
      </c>
      <c r="AW79" s="363" t="s">
        <v>49</v>
      </c>
      <c r="AX79" s="839"/>
      <c r="AZ79" s="836"/>
      <c r="BA79" s="363" t="str">
        <f>BA71</f>
        <v>Coût mensuel</v>
      </c>
      <c r="BB79" s="363" t="s">
        <v>44</v>
      </c>
      <c r="BC79" s="363" t="str">
        <f>BC71</f>
        <v>Achalandage mensuel</v>
      </c>
      <c r="BD79" s="363" t="s">
        <v>45</v>
      </c>
      <c r="BE79" s="363" t="s">
        <v>46</v>
      </c>
      <c r="BF79" s="363" t="str">
        <f>BF71</f>
        <v>Um/A</v>
      </c>
      <c r="BG79" s="363" t="s">
        <v>45</v>
      </c>
      <c r="BH79" s="363" t="str">
        <f>BH71</f>
        <v>CmO</v>
      </c>
      <c r="BI79" s="363" t="s">
        <v>49</v>
      </c>
      <c r="BJ79" s="839"/>
      <c r="BL79" s="836"/>
      <c r="BM79" s="363" t="str">
        <f>BM71</f>
        <v>Bénéfice mensuel</v>
      </c>
      <c r="BN79" s="363" t="s">
        <v>44</v>
      </c>
      <c r="BO79" s="363" t="str">
        <f>BO71</f>
        <v>Achalandage mensuel</v>
      </c>
      <c r="BP79" s="363" t="s">
        <v>45</v>
      </c>
      <c r="BQ79" s="363" t="s">
        <v>46</v>
      </c>
      <c r="BR79" s="363" t="str">
        <f>BR71</f>
        <v>Um/A</v>
      </c>
      <c r="BS79" s="363" t="s">
        <v>45</v>
      </c>
      <c r="BT79" s="363" t="str">
        <f>BT71</f>
        <v>BmO</v>
      </c>
      <c r="BU79" s="363" t="s">
        <v>49</v>
      </c>
      <c r="BV79" s="839"/>
    </row>
    <row r="80" spans="2:74" ht="19" x14ac:dyDescent="0.25">
      <c r="B80" s="891"/>
      <c r="C80" s="893"/>
      <c r="D80" s="836"/>
      <c r="E80" s="364" t="s">
        <v>2</v>
      </c>
      <c r="F80" s="365"/>
      <c r="G80" s="364"/>
      <c r="H80" s="365"/>
      <c r="I80" s="365"/>
      <c r="J80" s="365"/>
      <c r="K80" s="365"/>
      <c r="L80" s="365"/>
      <c r="M80" s="365"/>
      <c r="N80" s="839"/>
      <c r="P80" s="836"/>
      <c r="Q80" s="364" t="s">
        <v>2</v>
      </c>
      <c r="R80" s="365"/>
      <c r="S80" s="364"/>
      <c r="T80" s="365"/>
      <c r="U80" s="365"/>
      <c r="V80" s="365"/>
      <c r="W80" s="365"/>
      <c r="X80" s="365"/>
      <c r="Y80" s="365"/>
      <c r="Z80" s="839"/>
      <c r="AB80" s="836"/>
      <c r="AC80" s="364" t="s">
        <v>2</v>
      </c>
      <c r="AD80" s="365"/>
      <c r="AE80" s="364"/>
      <c r="AF80" s="365"/>
      <c r="AG80" s="365"/>
      <c r="AH80" s="365"/>
      <c r="AI80" s="365"/>
      <c r="AJ80" s="365"/>
      <c r="AK80" s="365"/>
      <c r="AL80" s="839"/>
      <c r="AN80" s="836"/>
      <c r="AO80" s="364" t="s">
        <v>2</v>
      </c>
      <c r="AP80" s="365"/>
      <c r="AQ80" s="364"/>
      <c r="AR80" s="365"/>
      <c r="AS80" s="365"/>
      <c r="AT80" s="365"/>
      <c r="AU80" s="365"/>
      <c r="AV80" s="365"/>
      <c r="AW80" s="365"/>
      <c r="AX80" s="839"/>
      <c r="AZ80" s="836"/>
      <c r="BA80" s="364" t="s">
        <v>2</v>
      </c>
      <c r="BB80" s="365"/>
      <c r="BC80" s="364"/>
      <c r="BD80" s="365"/>
      <c r="BE80" s="365"/>
      <c r="BF80" s="365"/>
      <c r="BG80" s="365"/>
      <c r="BH80" s="365"/>
      <c r="BI80" s="365"/>
      <c r="BJ80" s="839"/>
      <c r="BL80" s="836"/>
      <c r="BM80" s="364" t="s">
        <v>2</v>
      </c>
      <c r="BN80" s="365"/>
      <c r="BO80" s="364"/>
      <c r="BP80" s="365"/>
      <c r="BQ80" s="365"/>
      <c r="BR80" s="365"/>
      <c r="BS80" s="365"/>
      <c r="BT80" s="365"/>
      <c r="BU80" s="365"/>
      <c r="BV80" s="839"/>
    </row>
    <row r="81" spans="2:74" ht="26" x14ac:dyDescent="0.3">
      <c r="B81" s="891"/>
      <c r="C81" s="893"/>
      <c r="D81" s="836"/>
      <c r="E81" s="366" t="str">
        <f>E73</f>
        <v>D</v>
      </c>
      <c r="F81" s="367"/>
      <c r="G81" s="366" t="str">
        <f>G73</f>
        <v>A</v>
      </c>
      <c r="H81" s="367"/>
      <c r="I81" s="367"/>
      <c r="J81" s="366" t="str">
        <f>+J79</f>
        <v>Um/A</v>
      </c>
      <c r="K81" s="367"/>
      <c r="L81" s="366" t="str">
        <f>+L79</f>
        <v>PmO</v>
      </c>
      <c r="M81" s="367"/>
      <c r="N81" s="839"/>
      <c r="P81" s="836"/>
      <c r="Q81" s="366" t="str">
        <f>Q73</f>
        <v>D</v>
      </c>
      <c r="R81" s="367"/>
      <c r="S81" s="366" t="str">
        <f>S73</f>
        <v>A</v>
      </c>
      <c r="T81" s="367"/>
      <c r="U81" s="367"/>
      <c r="V81" s="366" t="str">
        <f>+V79</f>
        <v>Um/A</v>
      </c>
      <c r="W81" s="367"/>
      <c r="X81" s="366" t="str">
        <f>+X79</f>
        <v>PmO</v>
      </c>
      <c r="Y81" s="367"/>
      <c r="Z81" s="839"/>
      <c r="AB81" s="836"/>
      <c r="AC81" s="366" t="str">
        <f>AC73</f>
        <v>D</v>
      </c>
      <c r="AD81" s="367"/>
      <c r="AE81" s="366" t="str">
        <f>AE73</f>
        <v>A</v>
      </c>
      <c r="AF81" s="367"/>
      <c r="AG81" s="367"/>
      <c r="AH81" s="366" t="str">
        <f>+AH79</f>
        <v>Um/A</v>
      </c>
      <c r="AI81" s="367"/>
      <c r="AJ81" s="366" t="str">
        <f>+AJ79</f>
        <v>PmO</v>
      </c>
      <c r="AK81" s="367"/>
      <c r="AL81" s="839"/>
      <c r="AN81" s="836"/>
      <c r="AO81" s="366" t="str">
        <f>AO73</f>
        <v>D</v>
      </c>
      <c r="AP81" s="367"/>
      <c r="AQ81" s="366" t="str">
        <f>AQ73</f>
        <v>A</v>
      </c>
      <c r="AR81" s="367"/>
      <c r="AS81" s="367"/>
      <c r="AT81" s="366" t="str">
        <f>+AT79</f>
        <v>Um/A</v>
      </c>
      <c r="AU81" s="367"/>
      <c r="AV81" s="366" t="str">
        <f>+AV79</f>
        <v>PmO</v>
      </c>
      <c r="AW81" s="367"/>
      <c r="AX81" s="839"/>
      <c r="AZ81" s="836"/>
      <c r="BA81" s="366" t="str">
        <f>BA73</f>
        <v xml:space="preserve">C </v>
      </c>
      <c r="BB81" s="367"/>
      <c r="BC81" s="366" t="str">
        <f>BC73</f>
        <v>A</v>
      </c>
      <c r="BD81" s="367"/>
      <c r="BE81" s="367"/>
      <c r="BF81" s="366" t="str">
        <f>+BF79</f>
        <v>Um/A</v>
      </c>
      <c r="BG81" s="367"/>
      <c r="BH81" s="366" t="str">
        <f>+BH79</f>
        <v>CmO</v>
      </c>
      <c r="BI81" s="367"/>
      <c r="BJ81" s="839"/>
      <c r="BL81" s="836"/>
      <c r="BM81" s="366" t="str">
        <f>BM73</f>
        <v xml:space="preserve">B </v>
      </c>
      <c r="BN81" s="367"/>
      <c r="BO81" s="366" t="str">
        <f>BO73</f>
        <v>A</v>
      </c>
      <c r="BP81" s="367"/>
      <c r="BQ81" s="367"/>
      <c r="BR81" s="366" t="str">
        <f>+BR79</f>
        <v>Um/A</v>
      </c>
      <c r="BS81" s="367"/>
      <c r="BT81" s="366" t="str">
        <f>+BT79</f>
        <v>BmO</v>
      </c>
      <c r="BU81" s="367"/>
      <c r="BV81" s="839"/>
    </row>
    <row r="82" spans="2:74" ht="21" x14ac:dyDescent="0.25">
      <c r="B82" s="891"/>
      <c r="C82" s="893"/>
      <c r="D82" s="836"/>
      <c r="E82" s="340">
        <f>+Q82+AC82+AO82</f>
        <v>42135.665000000001</v>
      </c>
      <c r="F82" s="363" t="s">
        <v>44</v>
      </c>
      <c r="G82" s="341">
        <f>'% Occupation'!M19</f>
        <v>1705</v>
      </c>
      <c r="H82" s="363" t="s">
        <v>45</v>
      </c>
      <c r="I82" s="363" t="s">
        <v>46</v>
      </c>
      <c r="J82" s="342">
        <f>+V82+AH82+AT82</f>
        <v>2.2200000000000002</v>
      </c>
      <c r="K82" s="363" t="s">
        <v>45</v>
      </c>
      <c r="L82" s="343">
        <f>E82/G82/J82</f>
        <v>11.131981981981982</v>
      </c>
      <c r="M82" s="363" t="s">
        <v>49</v>
      </c>
      <c r="N82" s="839"/>
      <c r="P82" s="836"/>
      <c r="Q82" s="340">
        <f>+S82*(V82*X82)</f>
        <v>30178.500000000004</v>
      </c>
      <c r="R82" s="363" t="s">
        <v>44</v>
      </c>
      <c r="S82" s="341">
        <f>G82</f>
        <v>1705</v>
      </c>
      <c r="T82" s="363" t="s">
        <v>45</v>
      </c>
      <c r="U82" s="363" t="s">
        <v>46</v>
      </c>
      <c r="V82" s="378">
        <v>1.5</v>
      </c>
      <c r="W82" s="363" t="s">
        <v>45</v>
      </c>
      <c r="X82" s="379">
        <v>11.8</v>
      </c>
      <c r="Y82" s="363" t="s">
        <v>49</v>
      </c>
      <c r="Z82" s="839"/>
      <c r="AB82" s="836"/>
      <c r="AC82" s="340">
        <f>+AE82*(AH82*AJ82)</f>
        <v>10944.394999999999</v>
      </c>
      <c r="AD82" s="363" t="s">
        <v>44</v>
      </c>
      <c r="AE82" s="341">
        <f>S82</f>
        <v>1705</v>
      </c>
      <c r="AF82" s="363" t="s">
        <v>45</v>
      </c>
      <c r="AG82" s="363" t="s">
        <v>46</v>
      </c>
      <c r="AH82" s="378">
        <v>0.7</v>
      </c>
      <c r="AI82" s="363" t="s">
        <v>45</v>
      </c>
      <c r="AJ82" s="379">
        <v>9.17</v>
      </c>
      <c r="AK82" s="363" t="s">
        <v>49</v>
      </c>
      <c r="AL82" s="839"/>
      <c r="AN82" s="836"/>
      <c r="AO82" s="340">
        <f>+AQ82*(AT82*AV82)</f>
        <v>1012.77</v>
      </c>
      <c r="AP82" s="363" t="s">
        <v>44</v>
      </c>
      <c r="AQ82" s="341">
        <f>AE82</f>
        <v>1705</v>
      </c>
      <c r="AR82" s="363" t="s">
        <v>45</v>
      </c>
      <c r="AS82" s="363" t="s">
        <v>46</v>
      </c>
      <c r="AT82" s="378">
        <v>0.02</v>
      </c>
      <c r="AU82" s="363" t="s">
        <v>45</v>
      </c>
      <c r="AV82" s="379">
        <v>29.7</v>
      </c>
      <c r="AW82" s="363" t="s">
        <v>49</v>
      </c>
      <c r="AX82" s="839"/>
      <c r="AZ82" s="836"/>
      <c r="BA82" s="340">
        <f>'État des Résultats'!AF14-'État des Résultats'!AF45</f>
        <v>36323.71956249408</v>
      </c>
      <c r="BB82" s="363" t="s">
        <v>44</v>
      </c>
      <c r="BC82" s="341">
        <f>G82</f>
        <v>1705</v>
      </c>
      <c r="BD82" s="363" t="s">
        <v>45</v>
      </c>
      <c r="BE82" s="363" t="s">
        <v>46</v>
      </c>
      <c r="BF82" s="342">
        <f>J82</f>
        <v>2.2200000000000002</v>
      </c>
      <c r="BG82" s="363" t="s">
        <v>45</v>
      </c>
      <c r="BH82" s="343">
        <f>BA82/BC82/BF82</f>
        <v>9.5965019583350699</v>
      </c>
      <c r="BI82" s="363" t="s">
        <v>49</v>
      </c>
      <c r="BJ82" s="839"/>
      <c r="BL82" s="836"/>
      <c r="BM82" s="340">
        <f>'État des Résultats'!AF45</f>
        <v>5811.9454375059231</v>
      </c>
      <c r="BN82" s="363" t="s">
        <v>44</v>
      </c>
      <c r="BO82" s="341">
        <f>G82</f>
        <v>1705</v>
      </c>
      <c r="BP82" s="363" t="s">
        <v>45</v>
      </c>
      <c r="BQ82" s="363" t="s">
        <v>46</v>
      </c>
      <c r="BR82" s="342">
        <f>J82</f>
        <v>2.2200000000000002</v>
      </c>
      <c r="BS82" s="363" t="s">
        <v>45</v>
      </c>
      <c r="BT82" s="343">
        <f>BM82/BO82/BR82</f>
        <v>1.5354800236469111</v>
      </c>
      <c r="BU82" s="363" t="s">
        <v>49</v>
      </c>
      <c r="BV82" s="839"/>
    </row>
    <row r="83" spans="2:74" ht="17" thickBot="1" x14ac:dyDescent="0.25">
      <c r="B83" s="891"/>
      <c r="C83" s="893"/>
      <c r="D83" s="837"/>
      <c r="E83" s="368"/>
      <c r="F83" s="368"/>
      <c r="G83" s="368"/>
      <c r="H83" s="368"/>
      <c r="I83" s="368"/>
      <c r="J83" s="368"/>
      <c r="K83" s="368"/>
      <c r="L83" s="368"/>
      <c r="M83" s="368"/>
      <c r="N83" s="840"/>
      <c r="P83" s="837"/>
      <c r="Q83" s="368"/>
      <c r="R83" s="368"/>
      <c r="S83" s="368"/>
      <c r="T83" s="368"/>
      <c r="U83" s="368"/>
      <c r="V83" s="368"/>
      <c r="W83" s="368"/>
      <c r="X83" s="368"/>
      <c r="Y83" s="368"/>
      <c r="Z83" s="840"/>
      <c r="AB83" s="837"/>
      <c r="AC83" s="368"/>
      <c r="AD83" s="368"/>
      <c r="AE83" s="368"/>
      <c r="AF83" s="368"/>
      <c r="AG83" s="368"/>
      <c r="AH83" s="368"/>
      <c r="AI83" s="368"/>
      <c r="AJ83" s="368"/>
      <c r="AK83" s="368"/>
      <c r="AL83" s="840"/>
      <c r="AN83" s="837"/>
      <c r="AO83" s="368"/>
      <c r="AP83" s="368"/>
      <c r="AQ83" s="368"/>
      <c r="AR83" s="368"/>
      <c r="AS83" s="368"/>
      <c r="AT83" s="368"/>
      <c r="AU83" s="368"/>
      <c r="AV83" s="368"/>
      <c r="AW83" s="368"/>
      <c r="AX83" s="840"/>
      <c r="AZ83" s="837"/>
      <c r="BA83" s="368"/>
      <c r="BB83" s="368"/>
      <c r="BC83" s="368"/>
      <c r="BD83" s="368"/>
      <c r="BE83" s="368"/>
      <c r="BF83" s="368"/>
      <c r="BG83" s="368"/>
      <c r="BH83" s="368"/>
      <c r="BI83" s="368"/>
      <c r="BJ83" s="840"/>
      <c r="BL83" s="837"/>
      <c r="BM83" s="368"/>
      <c r="BN83" s="368"/>
      <c r="BO83" s="368"/>
      <c r="BP83" s="368"/>
      <c r="BQ83" s="368"/>
      <c r="BR83" s="368"/>
      <c r="BS83" s="368"/>
      <c r="BT83" s="368"/>
      <c r="BU83" s="368"/>
      <c r="BV83" s="840"/>
    </row>
    <row r="84" spans="2:74" ht="5" customHeight="1" thickTop="1" thickBot="1" x14ac:dyDescent="0.2">
      <c r="B84" s="891"/>
      <c r="C84" s="210"/>
    </row>
    <row r="85" spans="2:74" ht="17" thickTop="1" x14ac:dyDescent="0.2">
      <c r="B85" s="891"/>
      <c r="C85" s="893"/>
      <c r="D85" s="835" t="s">
        <v>42</v>
      </c>
      <c r="E85" s="361"/>
      <c r="F85" s="361"/>
      <c r="G85" s="361"/>
      <c r="H85" s="361"/>
      <c r="I85" s="361"/>
      <c r="J85" s="361"/>
      <c r="K85" s="361"/>
      <c r="L85" s="361"/>
      <c r="M85" s="361"/>
      <c r="N85" s="838" t="s">
        <v>43</v>
      </c>
      <c r="P85" s="835" t="s">
        <v>42</v>
      </c>
      <c r="Q85" s="361"/>
      <c r="R85" s="361"/>
      <c r="S85" s="361"/>
      <c r="T85" s="361"/>
      <c r="U85" s="361"/>
      <c r="V85" s="361"/>
      <c r="W85" s="361"/>
      <c r="X85" s="361"/>
      <c r="Y85" s="361"/>
      <c r="Z85" s="838" t="s">
        <v>43</v>
      </c>
      <c r="AB85" s="835" t="s">
        <v>42</v>
      </c>
      <c r="AC85" s="361"/>
      <c r="AD85" s="361"/>
      <c r="AE85" s="361"/>
      <c r="AF85" s="361"/>
      <c r="AG85" s="361"/>
      <c r="AH85" s="361"/>
      <c r="AI85" s="361"/>
      <c r="AJ85" s="361"/>
      <c r="AK85" s="361"/>
      <c r="AL85" s="838" t="s">
        <v>43</v>
      </c>
      <c r="AN85" s="835" t="s">
        <v>42</v>
      </c>
      <c r="AO85" s="361"/>
      <c r="AP85" s="361"/>
      <c r="AQ85" s="361"/>
      <c r="AR85" s="361"/>
      <c r="AS85" s="361"/>
      <c r="AT85" s="361"/>
      <c r="AU85" s="361"/>
      <c r="AV85" s="361"/>
      <c r="AW85" s="361"/>
      <c r="AX85" s="838" t="s">
        <v>43</v>
      </c>
      <c r="AZ85" s="835" t="s">
        <v>42</v>
      </c>
      <c r="BA85" s="361"/>
      <c r="BB85" s="361"/>
      <c r="BC85" s="361"/>
      <c r="BD85" s="361"/>
      <c r="BE85" s="361"/>
      <c r="BF85" s="361"/>
      <c r="BG85" s="361"/>
      <c r="BH85" s="361"/>
      <c r="BI85" s="361"/>
      <c r="BJ85" s="838" t="s">
        <v>43</v>
      </c>
      <c r="BL85" s="835" t="s">
        <v>42</v>
      </c>
      <c r="BM85" s="361"/>
      <c r="BN85" s="361"/>
      <c r="BO85" s="361"/>
      <c r="BP85" s="361"/>
      <c r="BQ85" s="361"/>
      <c r="BR85" s="361"/>
      <c r="BS85" s="361"/>
      <c r="BT85" s="361"/>
      <c r="BU85" s="361"/>
      <c r="BV85" s="838" t="s">
        <v>43</v>
      </c>
    </row>
    <row r="86" spans="2:74" ht="16" x14ac:dyDescent="0.2">
      <c r="B86" s="891"/>
      <c r="C86" s="893"/>
      <c r="D86" s="836"/>
      <c r="E86" s="362"/>
      <c r="F86" s="362"/>
      <c r="G86" s="362"/>
      <c r="H86" s="362"/>
      <c r="I86" s="362"/>
      <c r="J86" s="362"/>
      <c r="K86" s="362"/>
      <c r="L86" s="362"/>
      <c r="M86" s="362"/>
      <c r="N86" s="839"/>
      <c r="P86" s="836"/>
      <c r="Q86" s="362"/>
      <c r="R86" s="362"/>
      <c r="S86" s="362"/>
      <c r="T86" s="362"/>
      <c r="U86" s="362"/>
      <c r="V86" s="362"/>
      <c r="W86" s="362"/>
      <c r="X86" s="362"/>
      <c r="Y86" s="362"/>
      <c r="Z86" s="839"/>
      <c r="AB86" s="836"/>
      <c r="AC86" s="362"/>
      <c r="AD86" s="362"/>
      <c r="AE86" s="362"/>
      <c r="AF86" s="362"/>
      <c r="AG86" s="362"/>
      <c r="AH86" s="362"/>
      <c r="AI86" s="362"/>
      <c r="AJ86" s="362"/>
      <c r="AK86" s="362"/>
      <c r="AL86" s="839"/>
      <c r="AN86" s="836"/>
      <c r="AO86" s="362"/>
      <c r="AP86" s="362"/>
      <c r="AQ86" s="362"/>
      <c r="AR86" s="362"/>
      <c r="AS86" s="362"/>
      <c r="AT86" s="362"/>
      <c r="AU86" s="362"/>
      <c r="AV86" s="362"/>
      <c r="AW86" s="362"/>
      <c r="AX86" s="839"/>
      <c r="AZ86" s="836"/>
      <c r="BA86" s="362"/>
      <c r="BB86" s="362"/>
      <c r="BC86" s="362"/>
      <c r="BD86" s="362"/>
      <c r="BE86" s="362"/>
      <c r="BF86" s="362"/>
      <c r="BG86" s="362"/>
      <c r="BH86" s="362"/>
      <c r="BI86" s="362"/>
      <c r="BJ86" s="839"/>
      <c r="BL86" s="836"/>
      <c r="BM86" s="362"/>
      <c r="BN86" s="362"/>
      <c r="BO86" s="362"/>
      <c r="BP86" s="362"/>
      <c r="BQ86" s="362"/>
      <c r="BR86" s="362"/>
      <c r="BS86" s="362"/>
      <c r="BT86" s="362"/>
      <c r="BU86" s="362"/>
      <c r="BV86" s="839"/>
    </row>
    <row r="87" spans="2:74" ht="21" x14ac:dyDescent="0.25">
      <c r="B87" s="891"/>
      <c r="C87" s="893"/>
      <c r="D87" s="836"/>
      <c r="E87" s="363" t="str">
        <f>E79</f>
        <v>Demande mensuelle</v>
      </c>
      <c r="F87" s="363" t="s">
        <v>44</v>
      </c>
      <c r="G87" s="363" t="str">
        <f>G79</f>
        <v>Achalandage mensuel</v>
      </c>
      <c r="H87" s="363" t="s">
        <v>45</v>
      </c>
      <c r="I87" s="363" t="s">
        <v>46</v>
      </c>
      <c r="J87" s="363" t="str">
        <f>J79</f>
        <v>Um/A</v>
      </c>
      <c r="K87" s="363" t="s">
        <v>45</v>
      </c>
      <c r="L87" s="363" t="str">
        <f>L79</f>
        <v>PmO</v>
      </c>
      <c r="M87" s="363" t="s">
        <v>49</v>
      </c>
      <c r="N87" s="839"/>
      <c r="P87" s="836"/>
      <c r="Q87" s="363" t="str">
        <f>Q79</f>
        <v>Demande mensuelle</v>
      </c>
      <c r="R87" s="363" t="s">
        <v>44</v>
      </c>
      <c r="S87" s="363" t="str">
        <f>S79</f>
        <v>Achalandage mensuel</v>
      </c>
      <c r="T87" s="363" t="s">
        <v>45</v>
      </c>
      <c r="U87" s="363" t="s">
        <v>46</v>
      </c>
      <c r="V87" s="363" t="str">
        <f>V79</f>
        <v>Um/A</v>
      </c>
      <c r="W87" s="363" t="s">
        <v>45</v>
      </c>
      <c r="X87" s="363" t="str">
        <f>X79</f>
        <v>PmO</v>
      </c>
      <c r="Y87" s="363" t="s">
        <v>49</v>
      </c>
      <c r="Z87" s="839"/>
      <c r="AB87" s="836"/>
      <c r="AC87" s="363" t="str">
        <f>AC79</f>
        <v>Demande mensuelle</v>
      </c>
      <c r="AD87" s="363" t="s">
        <v>44</v>
      </c>
      <c r="AE87" s="363" t="str">
        <f>AE79</f>
        <v>Achalandage mensuel</v>
      </c>
      <c r="AF87" s="363" t="s">
        <v>45</v>
      </c>
      <c r="AG87" s="363" t="s">
        <v>46</v>
      </c>
      <c r="AH87" s="363" t="str">
        <f>AH79</f>
        <v>Um/A</v>
      </c>
      <c r="AI87" s="363" t="s">
        <v>45</v>
      </c>
      <c r="AJ87" s="363" t="str">
        <f>AJ79</f>
        <v>PmO</v>
      </c>
      <c r="AK87" s="363" t="s">
        <v>49</v>
      </c>
      <c r="AL87" s="839"/>
      <c r="AN87" s="836"/>
      <c r="AO87" s="363" t="str">
        <f>AO79</f>
        <v>Demande mensuelle</v>
      </c>
      <c r="AP87" s="363" t="s">
        <v>44</v>
      </c>
      <c r="AQ87" s="363" t="str">
        <f>AQ79</f>
        <v>Achalandage mensuel</v>
      </c>
      <c r="AR87" s="363" t="s">
        <v>45</v>
      </c>
      <c r="AS87" s="363" t="s">
        <v>46</v>
      </c>
      <c r="AT87" s="363" t="str">
        <f>AT79</f>
        <v>Um/A</v>
      </c>
      <c r="AU87" s="363" t="s">
        <v>45</v>
      </c>
      <c r="AV87" s="363" t="str">
        <f>AV79</f>
        <v>PmO</v>
      </c>
      <c r="AW87" s="363" t="s">
        <v>49</v>
      </c>
      <c r="AX87" s="839"/>
      <c r="AZ87" s="836"/>
      <c r="BA87" s="363" t="str">
        <f>BA79</f>
        <v>Coût mensuel</v>
      </c>
      <c r="BB87" s="363" t="s">
        <v>44</v>
      </c>
      <c r="BC87" s="363" t="str">
        <f>BC79</f>
        <v>Achalandage mensuel</v>
      </c>
      <c r="BD87" s="363" t="s">
        <v>45</v>
      </c>
      <c r="BE87" s="363" t="s">
        <v>46</v>
      </c>
      <c r="BF87" s="363" t="str">
        <f>BF79</f>
        <v>Um/A</v>
      </c>
      <c r="BG87" s="363" t="s">
        <v>45</v>
      </c>
      <c r="BH87" s="363" t="str">
        <f>BH79</f>
        <v>CmO</v>
      </c>
      <c r="BI87" s="363" t="s">
        <v>49</v>
      </c>
      <c r="BJ87" s="839"/>
      <c r="BL87" s="836"/>
      <c r="BM87" s="363" t="str">
        <f>BM79</f>
        <v>Bénéfice mensuel</v>
      </c>
      <c r="BN87" s="363" t="s">
        <v>44</v>
      </c>
      <c r="BO87" s="363" t="str">
        <f>BO79</f>
        <v>Achalandage mensuel</v>
      </c>
      <c r="BP87" s="363" t="s">
        <v>45</v>
      </c>
      <c r="BQ87" s="363" t="s">
        <v>46</v>
      </c>
      <c r="BR87" s="363" t="str">
        <f>BR79</f>
        <v>Um/A</v>
      </c>
      <c r="BS87" s="363" t="s">
        <v>45</v>
      </c>
      <c r="BT87" s="363" t="str">
        <f>BT79</f>
        <v>BmO</v>
      </c>
      <c r="BU87" s="363" t="s">
        <v>49</v>
      </c>
      <c r="BV87" s="839"/>
    </row>
    <row r="88" spans="2:74" ht="19" x14ac:dyDescent="0.25">
      <c r="B88" s="891"/>
      <c r="C88" s="893"/>
      <c r="D88" s="836"/>
      <c r="E88" s="364" t="s">
        <v>2</v>
      </c>
      <c r="F88" s="365"/>
      <c r="G88" s="364"/>
      <c r="H88" s="365"/>
      <c r="I88" s="365"/>
      <c r="J88" s="365"/>
      <c r="K88" s="365"/>
      <c r="L88" s="365"/>
      <c r="M88" s="365"/>
      <c r="N88" s="839"/>
      <c r="P88" s="836"/>
      <c r="Q88" s="364" t="s">
        <v>2</v>
      </c>
      <c r="R88" s="365"/>
      <c r="S88" s="364"/>
      <c r="T88" s="365"/>
      <c r="U88" s="365"/>
      <c r="V88" s="365"/>
      <c r="W88" s="365"/>
      <c r="X88" s="365"/>
      <c r="Y88" s="365"/>
      <c r="Z88" s="839"/>
      <c r="AB88" s="836"/>
      <c r="AC88" s="364" t="s">
        <v>2</v>
      </c>
      <c r="AD88" s="365"/>
      <c r="AE88" s="364"/>
      <c r="AF88" s="365"/>
      <c r="AG88" s="365"/>
      <c r="AH88" s="365"/>
      <c r="AI88" s="365"/>
      <c r="AJ88" s="365"/>
      <c r="AK88" s="365"/>
      <c r="AL88" s="839"/>
      <c r="AN88" s="836"/>
      <c r="AO88" s="364" t="s">
        <v>2</v>
      </c>
      <c r="AP88" s="365"/>
      <c r="AQ88" s="364"/>
      <c r="AR88" s="365"/>
      <c r="AS88" s="365"/>
      <c r="AT88" s="365"/>
      <c r="AU88" s="365"/>
      <c r="AV88" s="365"/>
      <c r="AW88" s="365"/>
      <c r="AX88" s="839"/>
      <c r="AZ88" s="836"/>
      <c r="BA88" s="364" t="s">
        <v>2</v>
      </c>
      <c r="BB88" s="365"/>
      <c r="BC88" s="364"/>
      <c r="BD88" s="365"/>
      <c r="BE88" s="365"/>
      <c r="BF88" s="365"/>
      <c r="BG88" s="365"/>
      <c r="BH88" s="365"/>
      <c r="BI88" s="365"/>
      <c r="BJ88" s="839"/>
      <c r="BL88" s="836"/>
      <c r="BM88" s="364" t="s">
        <v>2</v>
      </c>
      <c r="BN88" s="365"/>
      <c r="BO88" s="364"/>
      <c r="BP88" s="365"/>
      <c r="BQ88" s="365"/>
      <c r="BR88" s="365"/>
      <c r="BS88" s="365"/>
      <c r="BT88" s="365"/>
      <c r="BU88" s="365"/>
      <c r="BV88" s="839"/>
    </row>
    <row r="89" spans="2:74" ht="26" x14ac:dyDescent="0.3">
      <c r="B89" s="891"/>
      <c r="C89" s="893"/>
      <c r="D89" s="836"/>
      <c r="E89" s="366" t="str">
        <f>E81</f>
        <v>D</v>
      </c>
      <c r="F89" s="367"/>
      <c r="G89" s="366" t="str">
        <f>G81</f>
        <v>A</v>
      </c>
      <c r="H89" s="367"/>
      <c r="I89" s="367"/>
      <c r="J89" s="366" t="str">
        <f>+J87</f>
        <v>Um/A</v>
      </c>
      <c r="K89" s="367"/>
      <c r="L89" s="366" t="str">
        <f>+L87</f>
        <v>PmO</v>
      </c>
      <c r="M89" s="367"/>
      <c r="N89" s="839"/>
      <c r="P89" s="836"/>
      <c r="Q89" s="366" t="str">
        <f>Q81</f>
        <v>D</v>
      </c>
      <c r="R89" s="367"/>
      <c r="S89" s="366" t="str">
        <f>S81</f>
        <v>A</v>
      </c>
      <c r="T89" s="367"/>
      <c r="U89" s="367"/>
      <c r="V89" s="366" t="str">
        <f>+V87</f>
        <v>Um/A</v>
      </c>
      <c r="W89" s="367"/>
      <c r="X89" s="366" t="str">
        <f>+X87</f>
        <v>PmO</v>
      </c>
      <c r="Y89" s="367"/>
      <c r="Z89" s="839"/>
      <c r="AB89" s="836"/>
      <c r="AC89" s="366" t="str">
        <f>AC81</f>
        <v>D</v>
      </c>
      <c r="AD89" s="367"/>
      <c r="AE89" s="366" t="str">
        <f>AE81</f>
        <v>A</v>
      </c>
      <c r="AF89" s="367"/>
      <c r="AG89" s="367"/>
      <c r="AH89" s="366" t="str">
        <f>+AH87</f>
        <v>Um/A</v>
      </c>
      <c r="AI89" s="367"/>
      <c r="AJ89" s="366" t="str">
        <f>+AJ87</f>
        <v>PmO</v>
      </c>
      <c r="AK89" s="367"/>
      <c r="AL89" s="839"/>
      <c r="AN89" s="836"/>
      <c r="AO89" s="366" t="str">
        <f>AO81</f>
        <v>D</v>
      </c>
      <c r="AP89" s="367"/>
      <c r="AQ89" s="366" t="str">
        <f>AQ81</f>
        <v>A</v>
      </c>
      <c r="AR89" s="367"/>
      <c r="AS89" s="367"/>
      <c r="AT89" s="366" t="str">
        <f>+AT87</f>
        <v>Um/A</v>
      </c>
      <c r="AU89" s="367"/>
      <c r="AV89" s="366" t="str">
        <f>+AV87</f>
        <v>PmO</v>
      </c>
      <c r="AW89" s="367"/>
      <c r="AX89" s="839"/>
      <c r="AZ89" s="836"/>
      <c r="BA89" s="366" t="str">
        <f>BA81</f>
        <v xml:space="preserve">C </v>
      </c>
      <c r="BB89" s="367"/>
      <c r="BC89" s="366" t="str">
        <f>BC81</f>
        <v>A</v>
      </c>
      <c r="BD89" s="367"/>
      <c r="BE89" s="367"/>
      <c r="BF89" s="366" t="str">
        <f>+BF87</f>
        <v>Um/A</v>
      </c>
      <c r="BG89" s="367"/>
      <c r="BH89" s="366" t="str">
        <f>+BH87</f>
        <v>CmO</v>
      </c>
      <c r="BI89" s="367"/>
      <c r="BJ89" s="839"/>
      <c r="BL89" s="836"/>
      <c r="BM89" s="366" t="str">
        <f>BM81</f>
        <v xml:space="preserve">B </v>
      </c>
      <c r="BN89" s="367"/>
      <c r="BO89" s="366" t="str">
        <f>BO81</f>
        <v>A</v>
      </c>
      <c r="BP89" s="367"/>
      <c r="BQ89" s="367"/>
      <c r="BR89" s="366" t="str">
        <f>+BR87</f>
        <v>Um/A</v>
      </c>
      <c r="BS89" s="367"/>
      <c r="BT89" s="366" t="str">
        <f>+BT87</f>
        <v>BmO</v>
      </c>
      <c r="BU89" s="367"/>
      <c r="BV89" s="839"/>
    </row>
    <row r="90" spans="2:74" ht="21" x14ac:dyDescent="0.25">
      <c r="B90" s="891"/>
      <c r="C90" s="893"/>
      <c r="D90" s="836"/>
      <c r="E90" s="340">
        <f>+Q90+AC90+AO90</f>
        <v>37069.5</v>
      </c>
      <c r="F90" s="363" t="s">
        <v>44</v>
      </c>
      <c r="G90" s="341">
        <f>'% Occupation'!N19</f>
        <v>1500</v>
      </c>
      <c r="H90" s="363" t="s">
        <v>45</v>
      </c>
      <c r="I90" s="363" t="s">
        <v>46</v>
      </c>
      <c r="J90" s="342">
        <f>+V90+AH90+AT90</f>
        <v>2.2200000000000002</v>
      </c>
      <c r="K90" s="363" t="s">
        <v>45</v>
      </c>
      <c r="L90" s="343">
        <f>E90/G90/J90</f>
        <v>11.131981981981982</v>
      </c>
      <c r="M90" s="363" t="s">
        <v>49</v>
      </c>
      <c r="N90" s="839"/>
      <c r="P90" s="836"/>
      <c r="Q90" s="340">
        <f>+S90*(V90*X90)</f>
        <v>26550.000000000004</v>
      </c>
      <c r="R90" s="363" t="s">
        <v>44</v>
      </c>
      <c r="S90" s="341">
        <f>G90</f>
        <v>1500</v>
      </c>
      <c r="T90" s="363" t="s">
        <v>45</v>
      </c>
      <c r="U90" s="363" t="s">
        <v>46</v>
      </c>
      <c r="V90" s="378">
        <v>1.5</v>
      </c>
      <c r="W90" s="363" t="s">
        <v>45</v>
      </c>
      <c r="X90" s="379">
        <v>11.8</v>
      </c>
      <c r="Y90" s="363" t="s">
        <v>49</v>
      </c>
      <c r="Z90" s="839"/>
      <c r="AB90" s="836"/>
      <c r="AC90" s="340">
        <f>+AE90*(AH90*AJ90)</f>
        <v>9628.5</v>
      </c>
      <c r="AD90" s="363" t="s">
        <v>44</v>
      </c>
      <c r="AE90" s="341">
        <f>S90</f>
        <v>1500</v>
      </c>
      <c r="AF90" s="363" t="s">
        <v>45</v>
      </c>
      <c r="AG90" s="363" t="s">
        <v>46</v>
      </c>
      <c r="AH90" s="378">
        <v>0.7</v>
      </c>
      <c r="AI90" s="363" t="s">
        <v>45</v>
      </c>
      <c r="AJ90" s="379">
        <v>9.17</v>
      </c>
      <c r="AK90" s="363" t="s">
        <v>49</v>
      </c>
      <c r="AL90" s="839"/>
      <c r="AN90" s="836"/>
      <c r="AO90" s="340">
        <f>+AQ90*(AT90*AV90)</f>
        <v>891</v>
      </c>
      <c r="AP90" s="363" t="s">
        <v>44</v>
      </c>
      <c r="AQ90" s="341">
        <f>AE90</f>
        <v>1500</v>
      </c>
      <c r="AR90" s="363" t="s">
        <v>45</v>
      </c>
      <c r="AS90" s="363" t="s">
        <v>46</v>
      </c>
      <c r="AT90" s="378">
        <v>0.02</v>
      </c>
      <c r="AU90" s="363" t="s">
        <v>45</v>
      </c>
      <c r="AV90" s="379">
        <v>29.7</v>
      </c>
      <c r="AW90" s="363" t="s">
        <v>49</v>
      </c>
      <c r="AX90" s="839"/>
      <c r="AZ90" s="836"/>
      <c r="BA90" s="340">
        <f>'État des Résultats'!AI14-'État des Résultats'!AI45</f>
        <v>34373.671307960656</v>
      </c>
      <c r="BB90" s="363" t="s">
        <v>44</v>
      </c>
      <c r="BC90" s="341">
        <f>G90</f>
        <v>1500</v>
      </c>
      <c r="BD90" s="363" t="s">
        <v>45</v>
      </c>
      <c r="BE90" s="363" t="s">
        <v>46</v>
      </c>
      <c r="BF90" s="342">
        <f>J90</f>
        <v>2.2200000000000002</v>
      </c>
      <c r="BG90" s="363" t="s">
        <v>45</v>
      </c>
      <c r="BH90" s="343">
        <f>BA90/BC90/BF90</f>
        <v>10.322423816204399</v>
      </c>
      <c r="BI90" s="363" t="s">
        <v>49</v>
      </c>
      <c r="BJ90" s="839"/>
      <c r="BL90" s="836"/>
      <c r="BM90" s="340">
        <f>'État des Résultats'!AI45</f>
        <v>2695.8286920393425</v>
      </c>
      <c r="BN90" s="363" t="s">
        <v>44</v>
      </c>
      <c r="BO90" s="341">
        <f>G90</f>
        <v>1500</v>
      </c>
      <c r="BP90" s="363" t="s">
        <v>45</v>
      </c>
      <c r="BQ90" s="363" t="s">
        <v>46</v>
      </c>
      <c r="BR90" s="342">
        <f>J90</f>
        <v>2.2200000000000002</v>
      </c>
      <c r="BS90" s="363" t="s">
        <v>45</v>
      </c>
      <c r="BT90" s="343">
        <f>BM90/BO90/BR90</f>
        <v>0.80955816577758033</v>
      </c>
      <c r="BU90" s="363" t="s">
        <v>49</v>
      </c>
      <c r="BV90" s="839"/>
    </row>
    <row r="91" spans="2:74" ht="17" thickBot="1" x14ac:dyDescent="0.25">
      <c r="B91" s="891"/>
      <c r="C91" s="893"/>
      <c r="D91" s="837"/>
      <c r="E91" s="368"/>
      <c r="F91" s="368"/>
      <c r="G91" s="368"/>
      <c r="H91" s="368"/>
      <c r="I91" s="368"/>
      <c r="J91" s="368"/>
      <c r="K91" s="368"/>
      <c r="L91" s="368"/>
      <c r="M91" s="368"/>
      <c r="N91" s="840"/>
      <c r="P91" s="837"/>
      <c r="Q91" s="368"/>
      <c r="R91" s="368"/>
      <c r="S91" s="368"/>
      <c r="T91" s="368"/>
      <c r="U91" s="368"/>
      <c r="V91" s="368"/>
      <c r="W91" s="368"/>
      <c r="X91" s="368"/>
      <c r="Y91" s="368"/>
      <c r="Z91" s="840"/>
      <c r="AB91" s="837"/>
      <c r="AC91" s="368"/>
      <c r="AD91" s="368"/>
      <c r="AE91" s="368"/>
      <c r="AF91" s="368"/>
      <c r="AG91" s="368"/>
      <c r="AH91" s="368"/>
      <c r="AI91" s="368"/>
      <c r="AJ91" s="368"/>
      <c r="AK91" s="368"/>
      <c r="AL91" s="840"/>
      <c r="AN91" s="837"/>
      <c r="AO91" s="368"/>
      <c r="AP91" s="368"/>
      <c r="AQ91" s="368"/>
      <c r="AR91" s="368"/>
      <c r="AS91" s="368"/>
      <c r="AT91" s="368"/>
      <c r="AU91" s="368"/>
      <c r="AV91" s="368"/>
      <c r="AW91" s="368"/>
      <c r="AX91" s="840"/>
      <c r="AZ91" s="837"/>
      <c r="BA91" s="368"/>
      <c r="BB91" s="368"/>
      <c r="BC91" s="368"/>
      <c r="BD91" s="368"/>
      <c r="BE91" s="368"/>
      <c r="BF91" s="368"/>
      <c r="BG91" s="368"/>
      <c r="BH91" s="368"/>
      <c r="BI91" s="368"/>
      <c r="BJ91" s="840"/>
      <c r="BL91" s="837"/>
      <c r="BM91" s="368"/>
      <c r="BN91" s="368"/>
      <c r="BO91" s="368"/>
      <c r="BP91" s="368"/>
      <c r="BQ91" s="368"/>
      <c r="BR91" s="368"/>
      <c r="BS91" s="368"/>
      <c r="BT91" s="368"/>
      <c r="BU91" s="368"/>
      <c r="BV91" s="840"/>
    </row>
    <row r="92" spans="2:74" ht="5" customHeight="1" thickTop="1" thickBot="1" x14ac:dyDescent="0.2">
      <c r="B92" s="891"/>
      <c r="C92" s="210"/>
    </row>
    <row r="93" spans="2:74" ht="17" thickTop="1" x14ac:dyDescent="0.2">
      <c r="B93" s="891"/>
      <c r="C93" s="893"/>
      <c r="D93" s="835" t="s">
        <v>42</v>
      </c>
      <c r="E93" s="361"/>
      <c r="F93" s="361"/>
      <c r="G93" s="361"/>
      <c r="H93" s="361"/>
      <c r="I93" s="361"/>
      <c r="J93" s="361"/>
      <c r="K93" s="361"/>
      <c r="L93" s="361"/>
      <c r="M93" s="361"/>
      <c r="N93" s="838" t="s">
        <v>43</v>
      </c>
      <c r="P93" s="835" t="s">
        <v>42</v>
      </c>
      <c r="Q93" s="361"/>
      <c r="R93" s="361"/>
      <c r="S93" s="361"/>
      <c r="T93" s="361"/>
      <c r="U93" s="361"/>
      <c r="V93" s="361"/>
      <c r="W93" s="361"/>
      <c r="X93" s="361"/>
      <c r="Y93" s="361"/>
      <c r="Z93" s="838" t="s">
        <v>43</v>
      </c>
      <c r="AB93" s="835" t="s">
        <v>42</v>
      </c>
      <c r="AC93" s="361"/>
      <c r="AD93" s="361"/>
      <c r="AE93" s="361"/>
      <c r="AF93" s="361"/>
      <c r="AG93" s="361"/>
      <c r="AH93" s="361"/>
      <c r="AI93" s="361"/>
      <c r="AJ93" s="361"/>
      <c r="AK93" s="361"/>
      <c r="AL93" s="838" t="s">
        <v>43</v>
      </c>
      <c r="AN93" s="835" t="s">
        <v>42</v>
      </c>
      <c r="AO93" s="361"/>
      <c r="AP93" s="361"/>
      <c r="AQ93" s="361"/>
      <c r="AR93" s="361"/>
      <c r="AS93" s="361"/>
      <c r="AT93" s="361"/>
      <c r="AU93" s="361"/>
      <c r="AV93" s="361"/>
      <c r="AW93" s="361"/>
      <c r="AX93" s="838" t="s">
        <v>43</v>
      </c>
      <c r="AZ93" s="835" t="s">
        <v>42</v>
      </c>
      <c r="BA93" s="361"/>
      <c r="BB93" s="361"/>
      <c r="BC93" s="361"/>
      <c r="BD93" s="361"/>
      <c r="BE93" s="361"/>
      <c r="BF93" s="361"/>
      <c r="BG93" s="361"/>
      <c r="BH93" s="361"/>
      <c r="BI93" s="361"/>
      <c r="BJ93" s="838" t="s">
        <v>43</v>
      </c>
      <c r="BL93" s="835" t="s">
        <v>42</v>
      </c>
      <c r="BM93" s="361"/>
      <c r="BN93" s="361"/>
      <c r="BO93" s="361"/>
      <c r="BP93" s="361"/>
      <c r="BQ93" s="361"/>
      <c r="BR93" s="361"/>
      <c r="BS93" s="361"/>
      <c r="BT93" s="361"/>
      <c r="BU93" s="361"/>
      <c r="BV93" s="838" t="s">
        <v>43</v>
      </c>
    </row>
    <row r="94" spans="2:74" ht="16" x14ac:dyDescent="0.2">
      <c r="B94" s="891"/>
      <c r="C94" s="893"/>
      <c r="D94" s="836"/>
      <c r="E94" s="362"/>
      <c r="F94" s="362"/>
      <c r="G94" s="362"/>
      <c r="H94" s="362"/>
      <c r="I94" s="362"/>
      <c r="J94" s="362"/>
      <c r="K94" s="362"/>
      <c r="L94" s="362"/>
      <c r="M94" s="362"/>
      <c r="N94" s="839"/>
      <c r="P94" s="836"/>
      <c r="Q94" s="362"/>
      <c r="R94" s="362"/>
      <c r="S94" s="362"/>
      <c r="T94" s="362"/>
      <c r="U94" s="362"/>
      <c r="V94" s="362"/>
      <c r="W94" s="362"/>
      <c r="X94" s="362"/>
      <c r="Y94" s="362"/>
      <c r="Z94" s="839"/>
      <c r="AB94" s="836"/>
      <c r="AC94" s="362"/>
      <c r="AD94" s="362"/>
      <c r="AE94" s="362"/>
      <c r="AF94" s="362"/>
      <c r="AG94" s="362"/>
      <c r="AH94" s="362"/>
      <c r="AI94" s="362"/>
      <c r="AJ94" s="362"/>
      <c r="AK94" s="362"/>
      <c r="AL94" s="839"/>
      <c r="AN94" s="836"/>
      <c r="AO94" s="362"/>
      <c r="AP94" s="362"/>
      <c r="AQ94" s="362"/>
      <c r="AR94" s="362"/>
      <c r="AS94" s="362"/>
      <c r="AT94" s="362"/>
      <c r="AU94" s="362"/>
      <c r="AV94" s="362"/>
      <c r="AW94" s="362"/>
      <c r="AX94" s="839"/>
      <c r="AZ94" s="836"/>
      <c r="BA94" s="362"/>
      <c r="BB94" s="362"/>
      <c r="BC94" s="362"/>
      <c r="BD94" s="362"/>
      <c r="BE94" s="362"/>
      <c r="BF94" s="362"/>
      <c r="BG94" s="362"/>
      <c r="BH94" s="362"/>
      <c r="BI94" s="362"/>
      <c r="BJ94" s="839"/>
      <c r="BL94" s="836"/>
      <c r="BM94" s="362"/>
      <c r="BN94" s="362"/>
      <c r="BO94" s="362"/>
      <c r="BP94" s="362"/>
      <c r="BQ94" s="362"/>
      <c r="BR94" s="362"/>
      <c r="BS94" s="362"/>
      <c r="BT94" s="362"/>
      <c r="BU94" s="362"/>
      <c r="BV94" s="839"/>
    </row>
    <row r="95" spans="2:74" ht="21" x14ac:dyDescent="0.25">
      <c r="B95" s="891"/>
      <c r="C95" s="893"/>
      <c r="D95" s="836"/>
      <c r="E95" s="363" t="str">
        <f>E87</f>
        <v>Demande mensuelle</v>
      </c>
      <c r="F95" s="363" t="s">
        <v>44</v>
      </c>
      <c r="G95" s="363" t="str">
        <f>G87</f>
        <v>Achalandage mensuel</v>
      </c>
      <c r="H95" s="363" t="s">
        <v>45</v>
      </c>
      <c r="I95" s="363" t="s">
        <v>46</v>
      </c>
      <c r="J95" s="363" t="str">
        <f>J87</f>
        <v>Um/A</v>
      </c>
      <c r="K95" s="363" t="s">
        <v>45</v>
      </c>
      <c r="L95" s="363" t="str">
        <f>L87</f>
        <v>PmO</v>
      </c>
      <c r="M95" s="363" t="s">
        <v>49</v>
      </c>
      <c r="N95" s="839"/>
      <c r="P95" s="836"/>
      <c r="Q95" s="363" t="str">
        <f>Q87</f>
        <v>Demande mensuelle</v>
      </c>
      <c r="R95" s="363" t="s">
        <v>44</v>
      </c>
      <c r="S95" s="363" t="str">
        <f>S87</f>
        <v>Achalandage mensuel</v>
      </c>
      <c r="T95" s="363" t="s">
        <v>45</v>
      </c>
      <c r="U95" s="363" t="s">
        <v>46</v>
      </c>
      <c r="V95" s="363" t="str">
        <f>V87</f>
        <v>Um/A</v>
      </c>
      <c r="W95" s="363" t="s">
        <v>45</v>
      </c>
      <c r="X95" s="363" t="str">
        <f>X87</f>
        <v>PmO</v>
      </c>
      <c r="Y95" s="363" t="s">
        <v>49</v>
      </c>
      <c r="Z95" s="839"/>
      <c r="AB95" s="836"/>
      <c r="AC95" s="363" t="str">
        <f>AC87</f>
        <v>Demande mensuelle</v>
      </c>
      <c r="AD95" s="363" t="s">
        <v>44</v>
      </c>
      <c r="AE95" s="363" t="str">
        <f>AE87</f>
        <v>Achalandage mensuel</v>
      </c>
      <c r="AF95" s="363" t="s">
        <v>45</v>
      </c>
      <c r="AG95" s="363" t="s">
        <v>46</v>
      </c>
      <c r="AH95" s="363" t="str">
        <f>AH87</f>
        <v>Um/A</v>
      </c>
      <c r="AI95" s="363" t="s">
        <v>45</v>
      </c>
      <c r="AJ95" s="363" t="str">
        <f>AJ87</f>
        <v>PmO</v>
      </c>
      <c r="AK95" s="363" t="s">
        <v>49</v>
      </c>
      <c r="AL95" s="839"/>
      <c r="AN95" s="836"/>
      <c r="AO95" s="363" t="str">
        <f>AO87</f>
        <v>Demande mensuelle</v>
      </c>
      <c r="AP95" s="363" t="s">
        <v>44</v>
      </c>
      <c r="AQ95" s="363" t="str">
        <f>AQ87</f>
        <v>Achalandage mensuel</v>
      </c>
      <c r="AR95" s="363" t="s">
        <v>45</v>
      </c>
      <c r="AS95" s="363" t="s">
        <v>46</v>
      </c>
      <c r="AT95" s="363" t="str">
        <f>AT87</f>
        <v>Um/A</v>
      </c>
      <c r="AU95" s="363" t="s">
        <v>45</v>
      </c>
      <c r="AV95" s="363" t="str">
        <f>AV87</f>
        <v>PmO</v>
      </c>
      <c r="AW95" s="363" t="s">
        <v>49</v>
      </c>
      <c r="AX95" s="839"/>
      <c r="AZ95" s="836"/>
      <c r="BA95" s="363" t="str">
        <f>BA87</f>
        <v>Coût mensuel</v>
      </c>
      <c r="BB95" s="363" t="s">
        <v>44</v>
      </c>
      <c r="BC95" s="363" t="str">
        <f>BC87</f>
        <v>Achalandage mensuel</v>
      </c>
      <c r="BD95" s="363" t="s">
        <v>45</v>
      </c>
      <c r="BE95" s="363" t="s">
        <v>46</v>
      </c>
      <c r="BF95" s="363" t="str">
        <f>BF87</f>
        <v>Um/A</v>
      </c>
      <c r="BG95" s="363" t="s">
        <v>45</v>
      </c>
      <c r="BH95" s="363" t="str">
        <f>BH87</f>
        <v>CmO</v>
      </c>
      <c r="BI95" s="363" t="s">
        <v>49</v>
      </c>
      <c r="BJ95" s="839"/>
      <c r="BL95" s="836"/>
      <c r="BM95" s="363" t="str">
        <f>BM87</f>
        <v>Bénéfice mensuel</v>
      </c>
      <c r="BN95" s="363" t="s">
        <v>44</v>
      </c>
      <c r="BO95" s="363" t="str">
        <f>BO87</f>
        <v>Achalandage mensuel</v>
      </c>
      <c r="BP95" s="363" t="s">
        <v>45</v>
      </c>
      <c r="BQ95" s="363" t="s">
        <v>46</v>
      </c>
      <c r="BR95" s="363" t="str">
        <f>BR87</f>
        <v>Um/A</v>
      </c>
      <c r="BS95" s="363" t="s">
        <v>45</v>
      </c>
      <c r="BT95" s="363" t="str">
        <f>BT87</f>
        <v>BmO</v>
      </c>
      <c r="BU95" s="363" t="s">
        <v>49</v>
      </c>
      <c r="BV95" s="839"/>
    </row>
    <row r="96" spans="2:74" ht="19" x14ac:dyDescent="0.25">
      <c r="B96" s="891"/>
      <c r="C96" s="893"/>
      <c r="D96" s="836"/>
      <c r="E96" s="364" t="s">
        <v>2</v>
      </c>
      <c r="F96" s="365"/>
      <c r="G96" s="364"/>
      <c r="H96" s="365"/>
      <c r="I96" s="365"/>
      <c r="J96" s="365"/>
      <c r="K96" s="365"/>
      <c r="L96" s="365"/>
      <c r="M96" s="365"/>
      <c r="N96" s="839"/>
      <c r="P96" s="836"/>
      <c r="Q96" s="364" t="s">
        <v>2</v>
      </c>
      <c r="R96" s="365"/>
      <c r="S96" s="364"/>
      <c r="T96" s="365"/>
      <c r="U96" s="365"/>
      <c r="V96" s="365"/>
      <c r="W96" s="365"/>
      <c r="X96" s="365"/>
      <c r="Y96" s="365"/>
      <c r="Z96" s="839"/>
      <c r="AB96" s="836"/>
      <c r="AC96" s="364" t="s">
        <v>2</v>
      </c>
      <c r="AD96" s="365"/>
      <c r="AE96" s="364"/>
      <c r="AF96" s="365"/>
      <c r="AG96" s="365"/>
      <c r="AH96" s="365"/>
      <c r="AI96" s="365"/>
      <c r="AJ96" s="365"/>
      <c r="AK96" s="365"/>
      <c r="AL96" s="839"/>
      <c r="AN96" s="836"/>
      <c r="AO96" s="364" t="s">
        <v>2</v>
      </c>
      <c r="AP96" s="365"/>
      <c r="AQ96" s="364"/>
      <c r="AR96" s="365"/>
      <c r="AS96" s="365"/>
      <c r="AT96" s="365"/>
      <c r="AU96" s="365"/>
      <c r="AV96" s="365"/>
      <c r="AW96" s="365"/>
      <c r="AX96" s="839"/>
      <c r="AZ96" s="836"/>
      <c r="BA96" s="364" t="s">
        <v>2</v>
      </c>
      <c r="BB96" s="365"/>
      <c r="BC96" s="364"/>
      <c r="BD96" s="365"/>
      <c r="BE96" s="365"/>
      <c r="BF96" s="365"/>
      <c r="BG96" s="365"/>
      <c r="BH96" s="365"/>
      <c r="BI96" s="365"/>
      <c r="BJ96" s="839"/>
      <c r="BL96" s="836"/>
      <c r="BM96" s="364" t="s">
        <v>2</v>
      </c>
      <c r="BN96" s="365"/>
      <c r="BO96" s="364"/>
      <c r="BP96" s="365"/>
      <c r="BQ96" s="365"/>
      <c r="BR96" s="365"/>
      <c r="BS96" s="365"/>
      <c r="BT96" s="365"/>
      <c r="BU96" s="365"/>
      <c r="BV96" s="839"/>
    </row>
    <row r="97" spans="2:74" ht="26" x14ac:dyDescent="0.3">
      <c r="B97" s="891"/>
      <c r="C97" s="893"/>
      <c r="D97" s="836"/>
      <c r="E97" s="366" t="str">
        <f>E89</f>
        <v>D</v>
      </c>
      <c r="F97" s="367"/>
      <c r="G97" s="366" t="str">
        <f>G89</f>
        <v>A</v>
      </c>
      <c r="H97" s="367"/>
      <c r="I97" s="367"/>
      <c r="J97" s="366" t="str">
        <f>+J95</f>
        <v>Um/A</v>
      </c>
      <c r="K97" s="367"/>
      <c r="L97" s="366" t="str">
        <f>+L95</f>
        <v>PmO</v>
      </c>
      <c r="M97" s="367"/>
      <c r="N97" s="839"/>
      <c r="P97" s="836"/>
      <c r="Q97" s="366" t="str">
        <f>Q89</f>
        <v>D</v>
      </c>
      <c r="R97" s="367"/>
      <c r="S97" s="366" t="str">
        <f>S89</f>
        <v>A</v>
      </c>
      <c r="T97" s="367"/>
      <c r="U97" s="367"/>
      <c r="V97" s="366" t="str">
        <f>+V95</f>
        <v>Um/A</v>
      </c>
      <c r="W97" s="367"/>
      <c r="X97" s="366" t="str">
        <f>+X95</f>
        <v>PmO</v>
      </c>
      <c r="Y97" s="367"/>
      <c r="Z97" s="839"/>
      <c r="AB97" s="836"/>
      <c r="AC97" s="366" t="str">
        <f>AC89</f>
        <v>D</v>
      </c>
      <c r="AD97" s="367"/>
      <c r="AE97" s="366" t="str">
        <f>AE89</f>
        <v>A</v>
      </c>
      <c r="AF97" s="367"/>
      <c r="AG97" s="367"/>
      <c r="AH97" s="366" t="str">
        <f>+AH95</f>
        <v>Um/A</v>
      </c>
      <c r="AI97" s="367"/>
      <c r="AJ97" s="366" t="str">
        <f>+AJ95</f>
        <v>PmO</v>
      </c>
      <c r="AK97" s="367"/>
      <c r="AL97" s="839"/>
      <c r="AN97" s="836"/>
      <c r="AO97" s="366" t="str">
        <f>AO89</f>
        <v>D</v>
      </c>
      <c r="AP97" s="367"/>
      <c r="AQ97" s="366" t="str">
        <f>AQ89</f>
        <v>A</v>
      </c>
      <c r="AR97" s="367"/>
      <c r="AS97" s="367"/>
      <c r="AT97" s="366" t="str">
        <f>+AT95</f>
        <v>Um/A</v>
      </c>
      <c r="AU97" s="367"/>
      <c r="AV97" s="366" t="str">
        <f>+AV95</f>
        <v>PmO</v>
      </c>
      <c r="AW97" s="367"/>
      <c r="AX97" s="839"/>
      <c r="AZ97" s="836"/>
      <c r="BA97" s="366" t="str">
        <f>BA89</f>
        <v xml:space="preserve">C </v>
      </c>
      <c r="BB97" s="367"/>
      <c r="BC97" s="366" t="str">
        <f>BC89</f>
        <v>A</v>
      </c>
      <c r="BD97" s="367"/>
      <c r="BE97" s="367"/>
      <c r="BF97" s="366" t="str">
        <f>+BF95</f>
        <v>Um/A</v>
      </c>
      <c r="BG97" s="367"/>
      <c r="BH97" s="366" t="str">
        <f>+BH95</f>
        <v>CmO</v>
      </c>
      <c r="BI97" s="367"/>
      <c r="BJ97" s="839"/>
      <c r="BL97" s="836"/>
      <c r="BM97" s="366" t="str">
        <f>BM89</f>
        <v xml:space="preserve">B </v>
      </c>
      <c r="BN97" s="367"/>
      <c r="BO97" s="366" t="str">
        <f>BO89</f>
        <v>A</v>
      </c>
      <c r="BP97" s="367"/>
      <c r="BQ97" s="367"/>
      <c r="BR97" s="366" t="str">
        <f>+BR95</f>
        <v>Um/A</v>
      </c>
      <c r="BS97" s="367"/>
      <c r="BT97" s="366" t="str">
        <f>+BT95</f>
        <v>BmO</v>
      </c>
      <c r="BU97" s="367"/>
      <c r="BV97" s="839"/>
    </row>
    <row r="98" spans="2:74" ht="21" x14ac:dyDescent="0.25">
      <c r="B98" s="891"/>
      <c r="C98" s="893"/>
      <c r="D98" s="836"/>
      <c r="E98" s="340">
        <f>+Q98+AC98+AO98</f>
        <v>45966.180000000008</v>
      </c>
      <c r="F98" s="363" t="s">
        <v>44</v>
      </c>
      <c r="G98" s="341">
        <f>'% Occupation'!O19</f>
        <v>1860</v>
      </c>
      <c r="H98" s="363" t="s">
        <v>45</v>
      </c>
      <c r="I98" s="363" t="s">
        <v>46</v>
      </c>
      <c r="J98" s="342">
        <f>+V98+AH98+AT98</f>
        <v>2.2200000000000002</v>
      </c>
      <c r="K98" s="363" t="s">
        <v>45</v>
      </c>
      <c r="L98" s="343">
        <f>E98/G98/J98</f>
        <v>11.131981981981983</v>
      </c>
      <c r="M98" s="363" t="s">
        <v>49</v>
      </c>
      <c r="N98" s="839"/>
      <c r="P98" s="836"/>
      <c r="Q98" s="340">
        <f>+S98*(V98*X98)</f>
        <v>32922.000000000007</v>
      </c>
      <c r="R98" s="363" t="s">
        <v>44</v>
      </c>
      <c r="S98" s="341">
        <f>G98</f>
        <v>1860</v>
      </c>
      <c r="T98" s="363" t="s">
        <v>45</v>
      </c>
      <c r="U98" s="363" t="s">
        <v>46</v>
      </c>
      <c r="V98" s="378">
        <v>1.5</v>
      </c>
      <c r="W98" s="363" t="s">
        <v>45</v>
      </c>
      <c r="X98" s="379">
        <v>11.8</v>
      </c>
      <c r="Y98" s="363" t="s">
        <v>49</v>
      </c>
      <c r="Z98" s="839"/>
      <c r="AB98" s="836"/>
      <c r="AC98" s="340">
        <f>+AE98*(AH98*AJ98)</f>
        <v>11939.34</v>
      </c>
      <c r="AD98" s="363" t="s">
        <v>44</v>
      </c>
      <c r="AE98" s="341">
        <f>S98</f>
        <v>1860</v>
      </c>
      <c r="AF98" s="363" t="s">
        <v>45</v>
      </c>
      <c r="AG98" s="363" t="s">
        <v>46</v>
      </c>
      <c r="AH98" s="378">
        <v>0.7</v>
      </c>
      <c r="AI98" s="363" t="s">
        <v>45</v>
      </c>
      <c r="AJ98" s="379">
        <v>9.17</v>
      </c>
      <c r="AK98" s="363" t="s">
        <v>49</v>
      </c>
      <c r="AL98" s="839"/>
      <c r="AN98" s="836"/>
      <c r="AO98" s="340">
        <f>+AQ98*(AT98*AV98)</f>
        <v>1104.8399999999999</v>
      </c>
      <c r="AP98" s="363" t="s">
        <v>44</v>
      </c>
      <c r="AQ98" s="341">
        <f>AE98</f>
        <v>1860</v>
      </c>
      <c r="AR98" s="363" t="s">
        <v>45</v>
      </c>
      <c r="AS98" s="363" t="s">
        <v>46</v>
      </c>
      <c r="AT98" s="378">
        <v>0.02</v>
      </c>
      <c r="AU98" s="363" t="s">
        <v>45</v>
      </c>
      <c r="AV98" s="379">
        <v>29.7</v>
      </c>
      <c r="AW98" s="363" t="s">
        <v>49</v>
      </c>
      <c r="AX98" s="839"/>
      <c r="AZ98" s="836"/>
      <c r="BA98" s="340">
        <f>'État des Résultats'!AL14-'État des Résultats'!AL45</f>
        <v>38199.448613629909</v>
      </c>
      <c r="BB98" s="363" t="s">
        <v>44</v>
      </c>
      <c r="BC98" s="341">
        <f>G98</f>
        <v>1860</v>
      </c>
      <c r="BD98" s="363" t="s">
        <v>45</v>
      </c>
      <c r="BE98" s="363" t="s">
        <v>46</v>
      </c>
      <c r="BF98" s="342">
        <f>J98</f>
        <v>2.2200000000000002</v>
      </c>
      <c r="BG98" s="363" t="s">
        <v>45</v>
      </c>
      <c r="BH98" s="343">
        <f>BA98/BC98/BF98</f>
        <v>9.2510531370797988</v>
      </c>
      <c r="BI98" s="363" t="s">
        <v>49</v>
      </c>
      <c r="BJ98" s="839"/>
      <c r="BL98" s="836"/>
      <c r="BM98" s="340">
        <f>'État des Résultats'!AL45</f>
        <v>7766.731386370102</v>
      </c>
      <c r="BN98" s="363" t="s">
        <v>44</v>
      </c>
      <c r="BO98" s="341">
        <f>G98</f>
        <v>1860</v>
      </c>
      <c r="BP98" s="363" t="s">
        <v>45</v>
      </c>
      <c r="BQ98" s="363" t="s">
        <v>46</v>
      </c>
      <c r="BR98" s="342">
        <f>J98</f>
        <v>2.2200000000000002</v>
      </c>
      <c r="BS98" s="363" t="s">
        <v>45</v>
      </c>
      <c r="BT98" s="343">
        <f>BM98/BO98/BR98</f>
        <v>1.8809288449021848</v>
      </c>
      <c r="BU98" s="363" t="s">
        <v>49</v>
      </c>
      <c r="BV98" s="839"/>
    </row>
    <row r="99" spans="2:74" ht="17" thickBot="1" x14ac:dyDescent="0.25">
      <c r="B99" s="892"/>
      <c r="C99" s="893"/>
      <c r="D99" s="837"/>
      <c r="E99" s="368"/>
      <c r="F99" s="368"/>
      <c r="G99" s="368"/>
      <c r="H99" s="368"/>
      <c r="I99" s="368"/>
      <c r="J99" s="368"/>
      <c r="K99" s="368"/>
      <c r="L99" s="368"/>
      <c r="M99" s="368"/>
      <c r="N99" s="840"/>
      <c r="P99" s="837"/>
      <c r="Q99" s="368"/>
      <c r="R99" s="368"/>
      <c r="S99" s="368"/>
      <c r="T99" s="368"/>
      <c r="U99" s="368"/>
      <c r="V99" s="368"/>
      <c r="W99" s="368"/>
      <c r="X99" s="368"/>
      <c r="Y99" s="368"/>
      <c r="Z99" s="840"/>
      <c r="AB99" s="837"/>
      <c r="AC99" s="368"/>
      <c r="AD99" s="368"/>
      <c r="AE99" s="368"/>
      <c r="AF99" s="368"/>
      <c r="AG99" s="368"/>
      <c r="AH99" s="368"/>
      <c r="AI99" s="368"/>
      <c r="AJ99" s="368"/>
      <c r="AK99" s="368"/>
      <c r="AL99" s="840"/>
      <c r="AN99" s="837"/>
      <c r="AO99" s="368"/>
      <c r="AP99" s="368"/>
      <c r="AQ99" s="368"/>
      <c r="AR99" s="368"/>
      <c r="AS99" s="368"/>
      <c r="AT99" s="368"/>
      <c r="AU99" s="368"/>
      <c r="AV99" s="368"/>
      <c r="AW99" s="368"/>
      <c r="AX99" s="840"/>
      <c r="AZ99" s="837"/>
      <c r="BA99" s="368"/>
      <c r="BB99" s="368"/>
      <c r="BC99" s="368"/>
      <c r="BD99" s="368"/>
      <c r="BE99" s="368"/>
      <c r="BF99" s="368"/>
      <c r="BG99" s="368"/>
      <c r="BH99" s="368"/>
      <c r="BI99" s="368"/>
      <c r="BJ99" s="840"/>
      <c r="BL99" s="837"/>
      <c r="BM99" s="368"/>
      <c r="BN99" s="368"/>
      <c r="BO99" s="368"/>
      <c r="BP99" s="368"/>
      <c r="BQ99" s="368"/>
      <c r="BR99" s="368"/>
      <c r="BS99" s="368"/>
      <c r="BT99" s="368"/>
      <c r="BU99" s="368"/>
      <c r="BV99" s="840"/>
    </row>
    <row r="100" spans="2:74" ht="10" customHeight="1" thickBot="1" x14ac:dyDescent="0.2">
      <c r="C100" s="210"/>
    </row>
    <row r="101" spans="2:74" ht="17" thickTop="1" x14ac:dyDescent="0.2">
      <c r="B101" s="876" t="s">
        <v>196</v>
      </c>
      <c r="C101" s="882"/>
      <c r="D101" s="859" t="s">
        <v>42</v>
      </c>
      <c r="E101" s="369"/>
      <c r="F101" s="369"/>
      <c r="G101" s="369"/>
      <c r="H101" s="369"/>
      <c r="I101" s="369"/>
      <c r="J101" s="369"/>
      <c r="K101" s="369"/>
      <c r="L101" s="369"/>
      <c r="M101" s="369"/>
      <c r="N101" s="862" t="s">
        <v>43</v>
      </c>
      <c r="P101" s="859" t="s">
        <v>42</v>
      </c>
      <c r="Q101" s="369"/>
      <c r="R101" s="369"/>
      <c r="S101" s="369"/>
      <c r="T101" s="369"/>
      <c r="U101" s="369"/>
      <c r="V101" s="369"/>
      <c r="W101" s="369"/>
      <c r="X101" s="369"/>
      <c r="Y101" s="369"/>
      <c r="Z101" s="862" t="s">
        <v>43</v>
      </c>
      <c r="AB101" s="859" t="s">
        <v>42</v>
      </c>
      <c r="AC101" s="369"/>
      <c r="AD101" s="369"/>
      <c r="AE101" s="369"/>
      <c r="AF101" s="369"/>
      <c r="AG101" s="369"/>
      <c r="AH101" s="369"/>
      <c r="AI101" s="369"/>
      <c r="AJ101" s="369"/>
      <c r="AK101" s="369"/>
      <c r="AL101" s="862" t="s">
        <v>43</v>
      </c>
      <c r="AN101" s="859" t="s">
        <v>42</v>
      </c>
      <c r="AO101" s="369"/>
      <c r="AP101" s="369"/>
      <c r="AQ101" s="369"/>
      <c r="AR101" s="369"/>
      <c r="AS101" s="369"/>
      <c r="AT101" s="369"/>
      <c r="AU101" s="369"/>
      <c r="AV101" s="369"/>
      <c r="AW101" s="369"/>
      <c r="AX101" s="862" t="s">
        <v>43</v>
      </c>
      <c r="AZ101" s="859" t="s">
        <v>42</v>
      </c>
      <c r="BA101" s="369"/>
      <c r="BB101" s="369"/>
      <c r="BC101" s="369"/>
      <c r="BD101" s="369"/>
      <c r="BE101" s="369"/>
      <c r="BF101" s="369"/>
      <c r="BG101" s="369"/>
      <c r="BH101" s="369"/>
      <c r="BI101" s="369"/>
      <c r="BJ101" s="862" t="s">
        <v>43</v>
      </c>
      <c r="BL101" s="859" t="s">
        <v>42</v>
      </c>
      <c r="BM101" s="369"/>
      <c r="BN101" s="369"/>
      <c r="BO101" s="369"/>
      <c r="BP101" s="369"/>
      <c r="BQ101" s="369"/>
      <c r="BR101" s="369"/>
      <c r="BS101" s="369"/>
      <c r="BT101" s="369"/>
      <c r="BU101" s="369"/>
      <c r="BV101" s="862" t="s">
        <v>43</v>
      </c>
    </row>
    <row r="102" spans="2:74" ht="16" x14ac:dyDescent="0.2">
      <c r="B102" s="877"/>
      <c r="C102" s="882"/>
      <c r="D102" s="860"/>
      <c r="E102" s="370"/>
      <c r="F102" s="370"/>
      <c r="G102" s="370"/>
      <c r="H102" s="370"/>
      <c r="I102" s="370"/>
      <c r="J102" s="370"/>
      <c r="K102" s="370"/>
      <c r="L102" s="370"/>
      <c r="M102" s="370"/>
      <c r="N102" s="863"/>
      <c r="P102" s="860"/>
      <c r="Q102" s="370"/>
      <c r="R102" s="370"/>
      <c r="S102" s="370"/>
      <c r="T102" s="370"/>
      <c r="U102" s="370"/>
      <c r="V102" s="370"/>
      <c r="W102" s="370"/>
      <c r="X102" s="370"/>
      <c r="Y102" s="370"/>
      <c r="Z102" s="863"/>
      <c r="AB102" s="860"/>
      <c r="AC102" s="370"/>
      <c r="AD102" s="370"/>
      <c r="AE102" s="370"/>
      <c r="AF102" s="370"/>
      <c r="AG102" s="370"/>
      <c r="AH102" s="370"/>
      <c r="AI102" s="370"/>
      <c r="AJ102" s="370"/>
      <c r="AK102" s="370"/>
      <c r="AL102" s="863"/>
      <c r="AN102" s="860"/>
      <c r="AO102" s="370"/>
      <c r="AP102" s="370"/>
      <c r="AQ102" s="370"/>
      <c r="AR102" s="370"/>
      <c r="AS102" s="370"/>
      <c r="AT102" s="370"/>
      <c r="AU102" s="370"/>
      <c r="AV102" s="370"/>
      <c r="AW102" s="370"/>
      <c r="AX102" s="863"/>
      <c r="AZ102" s="860"/>
      <c r="BA102" s="370"/>
      <c r="BB102" s="370"/>
      <c r="BC102" s="370"/>
      <c r="BD102" s="370"/>
      <c r="BE102" s="370"/>
      <c r="BF102" s="370"/>
      <c r="BG102" s="370"/>
      <c r="BH102" s="370"/>
      <c r="BI102" s="370"/>
      <c r="BJ102" s="863"/>
      <c r="BL102" s="860"/>
      <c r="BM102" s="370"/>
      <c r="BN102" s="370"/>
      <c r="BO102" s="370"/>
      <c r="BP102" s="370"/>
      <c r="BQ102" s="370"/>
      <c r="BR102" s="370"/>
      <c r="BS102" s="370"/>
      <c r="BT102" s="370"/>
      <c r="BU102" s="370"/>
      <c r="BV102" s="863"/>
    </row>
    <row r="103" spans="2:74" ht="21" x14ac:dyDescent="0.25">
      <c r="B103" s="877"/>
      <c r="C103" s="882"/>
      <c r="D103" s="860"/>
      <c r="E103" s="371" t="str">
        <f>E95</f>
        <v>Demande mensuelle</v>
      </c>
      <c r="F103" s="371" t="s">
        <v>44</v>
      </c>
      <c r="G103" s="371" t="s">
        <v>167</v>
      </c>
      <c r="H103" s="371" t="s">
        <v>45</v>
      </c>
      <c r="I103" s="371" t="s">
        <v>46</v>
      </c>
      <c r="J103" s="371" t="str">
        <f>J95</f>
        <v>Um/A</v>
      </c>
      <c r="K103" s="371" t="s">
        <v>45</v>
      </c>
      <c r="L103" s="371" t="str">
        <f>L95</f>
        <v>PmO</v>
      </c>
      <c r="M103" s="371" t="s">
        <v>49</v>
      </c>
      <c r="N103" s="863"/>
      <c r="P103" s="860"/>
      <c r="Q103" s="371" t="str">
        <f>E103</f>
        <v>Demande mensuelle</v>
      </c>
      <c r="R103" s="371" t="s">
        <v>44</v>
      </c>
      <c r="S103" s="371" t="str">
        <f>G103</f>
        <v>Achalandage annuelle</v>
      </c>
      <c r="T103" s="371" t="s">
        <v>45</v>
      </c>
      <c r="U103" s="371" t="s">
        <v>46</v>
      </c>
      <c r="V103" s="371" t="str">
        <f>J103</f>
        <v>Um/A</v>
      </c>
      <c r="W103" s="371" t="s">
        <v>45</v>
      </c>
      <c r="X103" s="371" t="str">
        <f>L103</f>
        <v>PmO</v>
      </c>
      <c r="Y103" s="371" t="s">
        <v>49</v>
      </c>
      <c r="Z103" s="863"/>
      <c r="AB103" s="860"/>
      <c r="AC103" s="371" t="str">
        <f>AC95</f>
        <v>Demande mensuelle</v>
      </c>
      <c r="AD103" s="371" t="s">
        <v>44</v>
      </c>
      <c r="AE103" s="371" t="str">
        <f>S103</f>
        <v>Achalandage annuelle</v>
      </c>
      <c r="AF103" s="371" t="s">
        <v>45</v>
      </c>
      <c r="AG103" s="371" t="s">
        <v>46</v>
      </c>
      <c r="AH103" s="371" t="str">
        <f>V103</f>
        <v>Um/A</v>
      </c>
      <c r="AI103" s="371" t="s">
        <v>45</v>
      </c>
      <c r="AJ103" s="371" t="str">
        <f>X103</f>
        <v>PmO</v>
      </c>
      <c r="AK103" s="371" t="s">
        <v>49</v>
      </c>
      <c r="AL103" s="863"/>
      <c r="AN103" s="860"/>
      <c r="AO103" s="371" t="str">
        <f>AC103</f>
        <v>Demande mensuelle</v>
      </c>
      <c r="AP103" s="371" t="s">
        <v>44</v>
      </c>
      <c r="AQ103" s="371" t="str">
        <f>AE103</f>
        <v>Achalandage annuelle</v>
      </c>
      <c r="AR103" s="371" t="s">
        <v>45</v>
      </c>
      <c r="AS103" s="371" t="s">
        <v>46</v>
      </c>
      <c r="AT103" s="371" t="str">
        <f>AH103</f>
        <v>Um/A</v>
      </c>
      <c r="AU103" s="371" t="s">
        <v>45</v>
      </c>
      <c r="AV103" s="371" t="str">
        <f>AJ103</f>
        <v>PmO</v>
      </c>
      <c r="AW103" s="371" t="s">
        <v>49</v>
      </c>
      <c r="AX103" s="863"/>
      <c r="AZ103" s="860"/>
      <c r="BA103" s="371" t="s">
        <v>233</v>
      </c>
      <c r="BB103" s="371" t="s">
        <v>44</v>
      </c>
      <c r="BC103" s="371" t="s">
        <v>167</v>
      </c>
      <c r="BD103" s="371" t="s">
        <v>45</v>
      </c>
      <c r="BE103" s="371" t="s">
        <v>46</v>
      </c>
      <c r="BF103" s="371" t="str">
        <f>AT103</f>
        <v>Um/A</v>
      </c>
      <c r="BG103" s="371" t="s">
        <v>45</v>
      </c>
      <c r="BH103" s="371" t="s">
        <v>235</v>
      </c>
      <c r="BI103" s="371" t="s">
        <v>49</v>
      </c>
      <c r="BJ103" s="863"/>
      <c r="BL103" s="860"/>
      <c r="BM103" s="371" t="s">
        <v>238</v>
      </c>
      <c r="BN103" s="371" t="s">
        <v>44</v>
      </c>
      <c r="BO103" s="371" t="str">
        <f>BC103</f>
        <v>Achalandage annuelle</v>
      </c>
      <c r="BP103" s="371" t="s">
        <v>45</v>
      </c>
      <c r="BQ103" s="371" t="s">
        <v>46</v>
      </c>
      <c r="BR103" s="371" t="str">
        <f>BF103</f>
        <v>Um/A</v>
      </c>
      <c r="BS103" s="371" t="s">
        <v>45</v>
      </c>
      <c r="BT103" s="371" t="s">
        <v>239</v>
      </c>
      <c r="BU103" s="371" t="s">
        <v>49</v>
      </c>
      <c r="BV103" s="863"/>
    </row>
    <row r="104" spans="2:74" ht="19" x14ac:dyDescent="0.25">
      <c r="B104" s="877"/>
      <c r="C104" s="882"/>
      <c r="D104" s="860"/>
      <c r="E104" s="372" t="s">
        <v>2</v>
      </c>
      <c r="F104" s="373"/>
      <c r="G104" s="372"/>
      <c r="H104" s="373"/>
      <c r="I104" s="373"/>
      <c r="J104" s="373"/>
      <c r="K104" s="373"/>
      <c r="L104" s="373"/>
      <c r="M104" s="373"/>
      <c r="N104" s="863"/>
      <c r="P104" s="860"/>
      <c r="Q104" s="372" t="s">
        <v>2</v>
      </c>
      <c r="R104" s="373"/>
      <c r="S104" s="372"/>
      <c r="T104" s="373"/>
      <c r="U104" s="373"/>
      <c r="V104" s="373"/>
      <c r="W104" s="373"/>
      <c r="X104" s="373"/>
      <c r="Y104" s="373"/>
      <c r="Z104" s="863"/>
      <c r="AB104" s="860"/>
      <c r="AC104" s="372" t="s">
        <v>2</v>
      </c>
      <c r="AD104" s="373"/>
      <c r="AE104" s="372"/>
      <c r="AF104" s="373"/>
      <c r="AG104" s="373"/>
      <c r="AH104" s="373"/>
      <c r="AI104" s="373"/>
      <c r="AJ104" s="373"/>
      <c r="AK104" s="373"/>
      <c r="AL104" s="863"/>
      <c r="AN104" s="860"/>
      <c r="AO104" s="372" t="s">
        <v>2</v>
      </c>
      <c r="AP104" s="373"/>
      <c r="AQ104" s="372"/>
      <c r="AR104" s="373"/>
      <c r="AS104" s="373"/>
      <c r="AT104" s="373"/>
      <c r="AU104" s="373"/>
      <c r="AV104" s="373"/>
      <c r="AW104" s="373"/>
      <c r="AX104" s="863"/>
      <c r="AZ104" s="860"/>
      <c r="BA104" s="372" t="s">
        <v>2</v>
      </c>
      <c r="BB104" s="373"/>
      <c r="BC104" s="372"/>
      <c r="BD104" s="373"/>
      <c r="BE104" s="373"/>
      <c r="BF104" s="373"/>
      <c r="BG104" s="373"/>
      <c r="BH104" s="373"/>
      <c r="BI104" s="373"/>
      <c r="BJ104" s="863"/>
      <c r="BL104" s="860"/>
      <c r="BM104" s="372" t="s">
        <v>2</v>
      </c>
      <c r="BN104" s="373"/>
      <c r="BO104" s="372"/>
      <c r="BP104" s="373"/>
      <c r="BQ104" s="373"/>
      <c r="BR104" s="373"/>
      <c r="BS104" s="373"/>
      <c r="BT104" s="373"/>
      <c r="BU104" s="373"/>
      <c r="BV104" s="863"/>
    </row>
    <row r="105" spans="2:74" ht="26" x14ac:dyDescent="0.3">
      <c r="B105" s="877"/>
      <c r="C105" s="882"/>
      <c r="D105" s="860"/>
      <c r="E105" s="374" t="str">
        <f>E97</f>
        <v>D</v>
      </c>
      <c r="F105" s="375"/>
      <c r="G105" s="374" t="str">
        <f>G97</f>
        <v>A</v>
      </c>
      <c r="H105" s="375"/>
      <c r="I105" s="375"/>
      <c r="J105" s="374" t="str">
        <f>J103</f>
        <v>Um/A</v>
      </c>
      <c r="K105" s="375"/>
      <c r="L105" s="374" t="str">
        <f>L103</f>
        <v>PmO</v>
      </c>
      <c r="M105" s="375"/>
      <c r="N105" s="863"/>
      <c r="P105" s="860"/>
      <c r="Q105" s="374" t="str">
        <f>E105</f>
        <v>D</v>
      </c>
      <c r="R105" s="375"/>
      <c r="S105" s="374" t="str">
        <f>G105</f>
        <v>A</v>
      </c>
      <c r="T105" s="375"/>
      <c r="U105" s="375"/>
      <c r="V105" s="374" t="str">
        <f>V103</f>
        <v>Um/A</v>
      </c>
      <c r="W105" s="375"/>
      <c r="X105" s="374" t="str">
        <f>X103</f>
        <v>PmO</v>
      </c>
      <c r="Y105" s="375"/>
      <c r="Z105" s="863"/>
      <c r="AB105" s="860"/>
      <c r="AC105" s="374" t="str">
        <f>AC97</f>
        <v>D</v>
      </c>
      <c r="AD105" s="375"/>
      <c r="AE105" s="374" t="str">
        <f>S105</f>
        <v>A</v>
      </c>
      <c r="AF105" s="375"/>
      <c r="AG105" s="375"/>
      <c r="AH105" s="374" t="str">
        <f>AH103</f>
        <v>Um/A</v>
      </c>
      <c r="AI105" s="375"/>
      <c r="AJ105" s="374" t="str">
        <f>AJ103</f>
        <v>PmO</v>
      </c>
      <c r="AK105" s="375"/>
      <c r="AL105" s="863"/>
      <c r="AN105" s="860"/>
      <c r="AO105" s="374" t="str">
        <f>AC105</f>
        <v>D</v>
      </c>
      <c r="AP105" s="375"/>
      <c r="AQ105" s="374" t="str">
        <f>AE105</f>
        <v>A</v>
      </c>
      <c r="AR105" s="375"/>
      <c r="AS105" s="375"/>
      <c r="AT105" s="374" t="str">
        <f>AT103</f>
        <v>Um/A</v>
      </c>
      <c r="AU105" s="375"/>
      <c r="AV105" s="374" t="str">
        <f>AV103</f>
        <v>PmO</v>
      </c>
      <c r="AW105" s="375"/>
      <c r="AX105" s="863"/>
      <c r="AZ105" s="860"/>
      <c r="BA105" s="374" t="s">
        <v>236</v>
      </c>
      <c r="BB105" s="375"/>
      <c r="BC105" s="374" t="s">
        <v>50</v>
      </c>
      <c r="BD105" s="375"/>
      <c r="BE105" s="375"/>
      <c r="BF105" s="374" t="str">
        <f>BF103</f>
        <v>Um/A</v>
      </c>
      <c r="BG105" s="375"/>
      <c r="BH105" s="374" t="str">
        <f>+BH103</f>
        <v>CmO</v>
      </c>
      <c r="BI105" s="375"/>
      <c r="BJ105" s="863"/>
      <c r="BL105" s="860"/>
      <c r="BM105" s="374" t="s">
        <v>237</v>
      </c>
      <c r="BN105" s="375"/>
      <c r="BO105" s="374" t="str">
        <f>BC105</f>
        <v>A</v>
      </c>
      <c r="BP105" s="375"/>
      <c r="BQ105" s="375"/>
      <c r="BR105" s="374" t="str">
        <f>BR103</f>
        <v>Um/A</v>
      </c>
      <c r="BS105" s="375"/>
      <c r="BT105" s="374" t="str">
        <f>+BT103</f>
        <v>BmO</v>
      </c>
      <c r="BU105" s="375"/>
      <c r="BV105" s="863"/>
    </row>
    <row r="106" spans="2:74" ht="21" x14ac:dyDescent="0.25">
      <c r="B106" s="877"/>
      <c r="C106" s="882"/>
      <c r="D106" s="860"/>
      <c r="E106" s="340">
        <f>+Q106+AC106+AO106</f>
        <v>565309.875</v>
      </c>
      <c r="F106" s="371" t="s">
        <v>44</v>
      </c>
      <c r="G106" s="341">
        <f>+G10+G18+G26+G34+G42+G50+G58+G66+G74+G82+G90+G98</f>
        <v>22875</v>
      </c>
      <c r="H106" s="371" t="s">
        <v>45</v>
      </c>
      <c r="I106" s="371" t="s">
        <v>46</v>
      </c>
      <c r="J106" s="342">
        <f>+V106+AH106+AT106</f>
        <v>2.2200000000000002</v>
      </c>
      <c r="K106" s="371" t="s">
        <v>45</v>
      </c>
      <c r="L106" s="343">
        <f>E106/G106/J106</f>
        <v>11.131981981981982</v>
      </c>
      <c r="M106" s="371" t="s">
        <v>49</v>
      </c>
      <c r="N106" s="863"/>
      <c r="P106" s="860"/>
      <c r="Q106" s="380">
        <f>+Q10+Q18+Q26+Q34+Q42+Q50+Q58+Q66+Q74+Q82+Q90+Q98</f>
        <v>404887.50000000006</v>
      </c>
      <c r="R106" s="371" t="s">
        <v>44</v>
      </c>
      <c r="S106" s="341">
        <f>+S10+S18+S26+S34+S42+S50+S58+S66+S74+S82+S90+S98</f>
        <v>22875</v>
      </c>
      <c r="T106" s="371" t="s">
        <v>45</v>
      </c>
      <c r="U106" s="371" t="s">
        <v>46</v>
      </c>
      <c r="V106" s="342">
        <f>+(V10+V18+V26+V34+V42+V50+V58+V66+V74+V82+V90+V98)/12</f>
        <v>1.5</v>
      </c>
      <c r="W106" s="371" t="s">
        <v>45</v>
      </c>
      <c r="X106" s="343">
        <f>Q106/S106/V106</f>
        <v>11.800000000000002</v>
      </c>
      <c r="Y106" s="371" t="s">
        <v>49</v>
      </c>
      <c r="Z106" s="863"/>
      <c r="AB106" s="860"/>
      <c r="AC106" s="380">
        <f>+AC10+AC18+AC26+AC34+AC42+AC50+AC58+AC66+AC74+AC82+AC90+AC98</f>
        <v>146834.62499999997</v>
      </c>
      <c r="AD106" s="371" t="s">
        <v>44</v>
      </c>
      <c r="AE106" s="341">
        <f>+AE10+AE18+AE26+AE34+AE42+AE50+AE58+AE66+AE74+AE82+AE90+AE98</f>
        <v>22875</v>
      </c>
      <c r="AF106" s="371" t="s">
        <v>45</v>
      </c>
      <c r="AG106" s="371" t="s">
        <v>46</v>
      </c>
      <c r="AH106" s="342">
        <f>+(AH10+AH18+AH26+AH34+AH42+AH50+AH58+AH66+AH74+AH82+AH90+AH98)/12</f>
        <v>0.70000000000000007</v>
      </c>
      <c r="AI106" s="371" t="s">
        <v>45</v>
      </c>
      <c r="AJ106" s="343">
        <f>AC106/AE106/AH106</f>
        <v>9.1699999999999982</v>
      </c>
      <c r="AK106" s="371" t="s">
        <v>49</v>
      </c>
      <c r="AL106" s="863"/>
      <c r="AN106" s="860"/>
      <c r="AO106" s="380">
        <f>+AO10+AO18+AO26+AO34+AO42+AO50+AO58+AO66+AO74+AO82+AO90+AO98</f>
        <v>13587.75</v>
      </c>
      <c r="AP106" s="371" t="s">
        <v>44</v>
      </c>
      <c r="AQ106" s="341">
        <f>+AQ10+AQ18+AQ26+AQ34+AQ42+AQ50+AQ58+AQ66+AQ74+AQ82+AQ90+AQ98</f>
        <v>22875</v>
      </c>
      <c r="AR106" s="371" t="s">
        <v>45</v>
      </c>
      <c r="AS106" s="371" t="s">
        <v>46</v>
      </c>
      <c r="AT106" s="342">
        <f>+(AT10+AT18+AT26+AT34+AT42+AT50+AT58+AT66+AT74+AT82+AT90+AT98)/12</f>
        <v>1.9999999999999997E-2</v>
      </c>
      <c r="AU106" s="371" t="s">
        <v>45</v>
      </c>
      <c r="AV106" s="343">
        <f>AO106/AQ106/AT106</f>
        <v>29.700000000000003</v>
      </c>
      <c r="AW106" s="371" t="s">
        <v>49</v>
      </c>
      <c r="AX106" s="863"/>
      <c r="AZ106" s="860"/>
      <c r="BA106" s="380">
        <f>+('État des Résultats'!AP14-'État des Résultats'!AP45)</f>
        <v>469766.17995846557</v>
      </c>
      <c r="BB106" s="371" t="s">
        <v>44</v>
      </c>
      <c r="BC106" s="341">
        <f>G106</f>
        <v>22875</v>
      </c>
      <c r="BD106" s="371" t="s">
        <v>45</v>
      </c>
      <c r="BE106" s="371" t="s">
        <v>46</v>
      </c>
      <c r="BF106" s="342">
        <f>J106</f>
        <v>2.2200000000000002</v>
      </c>
      <c r="BG106" s="371" t="s">
        <v>45</v>
      </c>
      <c r="BH106" s="343">
        <f>BA106/BC106/BF106</f>
        <v>9.2505524532755476</v>
      </c>
      <c r="BI106" s="371" t="s">
        <v>49</v>
      </c>
      <c r="BJ106" s="863"/>
      <c r="BL106" s="860"/>
      <c r="BM106" s="380">
        <f>'État des Résultats'!AP45</f>
        <v>95543.695041534447</v>
      </c>
      <c r="BN106" s="371" t="s">
        <v>44</v>
      </c>
      <c r="BO106" s="341">
        <f>S106</f>
        <v>22875</v>
      </c>
      <c r="BP106" s="371" t="s">
        <v>45</v>
      </c>
      <c r="BQ106" s="371" t="s">
        <v>46</v>
      </c>
      <c r="BR106" s="342">
        <f>J106</f>
        <v>2.2200000000000002</v>
      </c>
      <c r="BS106" s="371" t="s">
        <v>45</v>
      </c>
      <c r="BT106" s="343">
        <f>BM106/BO106/BR106</f>
        <v>1.8814295287064331</v>
      </c>
      <c r="BU106" s="371" t="s">
        <v>49</v>
      </c>
      <c r="BV106" s="863"/>
    </row>
    <row r="107" spans="2:74" ht="17" thickBot="1" x14ac:dyDescent="0.25">
      <c r="B107" s="877"/>
      <c r="C107" s="882"/>
      <c r="D107" s="861"/>
      <c r="E107" s="376"/>
      <c r="F107" s="376"/>
      <c r="G107" s="376"/>
      <c r="H107" s="376"/>
      <c r="I107" s="376"/>
      <c r="J107" s="376"/>
      <c r="K107" s="376"/>
      <c r="L107" s="376"/>
      <c r="M107" s="376"/>
      <c r="N107" s="864"/>
      <c r="P107" s="861"/>
      <c r="Q107" s="376"/>
      <c r="R107" s="376"/>
      <c r="S107" s="376"/>
      <c r="T107" s="376"/>
      <c r="U107" s="376"/>
      <c r="V107" s="376"/>
      <c r="W107" s="376"/>
      <c r="X107" s="376"/>
      <c r="Y107" s="376"/>
      <c r="Z107" s="864"/>
      <c r="AB107" s="861"/>
      <c r="AC107" s="376"/>
      <c r="AD107" s="376"/>
      <c r="AE107" s="376"/>
      <c r="AF107" s="376"/>
      <c r="AG107" s="376"/>
      <c r="AH107" s="376"/>
      <c r="AI107" s="376"/>
      <c r="AJ107" s="376"/>
      <c r="AK107" s="376"/>
      <c r="AL107" s="864"/>
      <c r="AN107" s="861"/>
      <c r="AO107" s="376"/>
      <c r="AP107" s="376"/>
      <c r="AQ107" s="376"/>
      <c r="AR107" s="376"/>
      <c r="AS107" s="376"/>
      <c r="AT107" s="376"/>
      <c r="AU107" s="376"/>
      <c r="AV107" s="376"/>
      <c r="AW107" s="376"/>
      <c r="AX107" s="864"/>
      <c r="AZ107" s="861"/>
      <c r="BA107" s="376"/>
      <c r="BB107" s="376"/>
      <c r="BC107" s="376"/>
      <c r="BD107" s="376"/>
      <c r="BE107" s="376"/>
      <c r="BF107" s="376"/>
      <c r="BG107" s="376"/>
      <c r="BH107" s="376"/>
      <c r="BI107" s="376"/>
      <c r="BJ107" s="864"/>
      <c r="BL107" s="861"/>
      <c r="BM107" s="376"/>
      <c r="BN107" s="376"/>
      <c r="BO107" s="376"/>
      <c r="BP107" s="376"/>
      <c r="BQ107" s="376"/>
      <c r="BR107" s="376"/>
      <c r="BS107" s="376"/>
      <c r="BT107" s="376"/>
      <c r="BU107" s="376"/>
      <c r="BV107" s="864"/>
    </row>
    <row r="108" spans="2:74" ht="5" customHeight="1" thickTop="1" thickBot="1" x14ac:dyDescent="0.2">
      <c r="B108" s="877"/>
      <c r="C108" s="210"/>
    </row>
    <row r="109" spans="2:74" ht="17" thickTop="1" x14ac:dyDescent="0.2">
      <c r="B109" s="877"/>
      <c r="C109" s="882"/>
      <c r="D109" s="859" t="s">
        <v>42</v>
      </c>
      <c r="E109" s="369"/>
      <c r="F109" s="369"/>
      <c r="G109" s="369"/>
      <c r="H109" s="369"/>
      <c r="I109" s="369"/>
      <c r="J109" s="369"/>
      <c r="K109" s="369"/>
      <c r="L109" s="369"/>
      <c r="M109" s="369"/>
      <c r="N109" s="862" t="s">
        <v>43</v>
      </c>
      <c r="P109" s="859" t="s">
        <v>42</v>
      </c>
      <c r="Q109" s="369"/>
      <c r="R109" s="369"/>
      <c r="S109" s="369"/>
      <c r="T109" s="369"/>
      <c r="U109" s="369"/>
      <c r="V109" s="369"/>
      <c r="W109" s="369"/>
      <c r="X109" s="369"/>
      <c r="Y109" s="369"/>
      <c r="Z109" s="862" t="s">
        <v>43</v>
      </c>
      <c r="AB109" s="859" t="s">
        <v>42</v>
      </c>
      <c r="AC109" s="369"/>
      <c r="AD109" s="369"/>
      <c r="AE109" s="369"/>
      <c r="AF109" s="369"/>
      <c r="AG109" s="369"/>
      <c r="AH109" s="369"/>
      <c r="AI109" s="369"/>
      <c r="AJ109" s="369"/>
      <c r="AK109" s="369"/>
      <c r="AL109" s="862" t="s">
        <v>43</v>
      </c>
      <c r="AN109" s="859" t="s">
        <v>42</v>
      </c>
      <c r="AO109" s="369"/>
      <c r="AP109" s="369"/>
      <c r="AQ109" s="369"/>
      <c r="AR109" s="369"/>
      <c r="AS109" s="369"/>
      <c r="AT109" s="369"/>
      <c r="AU109" s="369"/>
      <c r="AV109" s="369"/>
      <c r="AW109" s="369"/>
      <c r="AX109" s="862" t="s">
        <v>43</v>
      </c>
      <c r="AZ109" s="859" t="s">
        <v>42</v>
      </c>
      <c r="BA109" s="369"/>
      <c r="BB109" s="369"/>
      <c r="BC109" s="369"/>
      <c r="BD109" s="369"/>
      <c r="BE109" s="369"/>
      <c r="BF109" s="369"/>
      <c r="BG109" s="369"/>
      <c r="BH109" s="369"/>
      <c r="BI109" s="369"/>
      <c r="BJ109" s="862" t="s">
        <v>43</v>
      </c>
      <c r="BL109" s="859" t="s">
        <v>42</v>
      </c>
      <c r="BM109" s="369"/>
      <c r="BN109" s="369"/>
      <c r="BO109" s="369"/>
      <c r="BP109" s="369"/>
      <c r="BQ109" s="369"/>
      <c r="BR109" s="369"/>
      <c r="BS109" s="369"/>
      <c r="BT109" s="369"/>
      <c r="BU109" s="369"/>
      <c r="BV109" s="862" t="s">
        <v>43</v>
      </c>
    </row>
    <row r="110" spans="2:74" ht="16" x14ac:dyDescent="0.2">
      <c r="B110" s="877"/>
      <c r="C110" s="882"/>
      <c r="D110" s="860"/>
      <c r="E110" s="370"/>
      <c r="F110" s="370"/>
      <c r="G110" s="370"/>
      <c r="H110" s="370"/>
      <c r="I110" s="370"/>
      <c r="J110" s="370"/>
      <c r="K110" s="370"/>
      <c r="L110" s="370"/>
      <c r="M110" s="370"/>
      <c r="N110" s="863"/>
      <c r="P110" s="860"/>
      <c r="Q110" s="370"/>
      <c r="R110" s="370"/>
      <c r="S110" s="370"/>
      <c r="T110" s="370"/>
      <c r="U110" s="370"/>
      <c r="V110" s="370"/>
      <c r="W110" s="370"/>
      <c r="X110" s="370"/>
      <c r="Y110" s="370"/>
      <c r="Z110" s="863"/>
      <c r="AB110" s="860"/>
      <c r="AC110" s="370"/>
      <c r="AD110" s="370"/>
      <c r="AE110" s="370"/>
      <c r="AF110" s="370"/>
      <c r="AG110" s="370"/>
      <c r="AH110" s="370"/>
      <c r="AI110" s="370"/>
      <c r="AJ110" s="370"/>
      <c r="AK110" s="370"/>
      <c r="AL110" s="863"/>
      <c r="AN110" s="860"/>
      <c r="AO110" s="370"/>
      <c r="AP110" s="370"/>
      <c r="AQ110" s="370"/>
      <c r="AR110" s="370"/>
      <c r="AS110" s="370"/>
      <c r="AT110" s="370"/>
      <c r="AU110" s="370"/>
      <c r="AV110" s="370"/>
      <c r="AW110" s="370"/>
      <c r="AX110" s="863"/>
      <c r="AZ110" s="860"/>
      <c r="BA110" s="370"/>
      <c r="BB110" s="370"/>
      <c r="BC110" s="370"/>
      <c r="BD110" s="370"/>
      <c r="BE110" s="370"/>
      <c r="BF110" s="370"/>
      <c r="BG110" s="370"/>
      <c r="BH110" s="370"/>
      <c r="BI110" s="370"/>
      <c r="BJ110" s="863"/>
      <c r="BL110" s="860"/>
      <c r="BM110" s="370"/>
      <c r="BN110" s="370"/>
      <c r="BO110" s="370"/>
      <c r="BP110" s="370"/>
      <c r="BQ110" s="370"/>
      <c r="BR110" s="370"/>
      <c r="BS110" s="370"/>
      <c r="BT110" s="370"/>
      <c r="BU110" s="370"/>
      <c r="BV110" s="863"/>
    </row>
    <row r="111" spans="2:74" ht="21" x14ac:dyDescent="0.25">
      <c r="B111" s="877"/>
      <c r="C111" s="882"/>
      <c r="D111" s="860"/>
      <c r="E111" s="371" t="str">
        <f>E103</f>
        <v>Demande mensuelle</v>
      </c>
      <c r="F111" s="371" t="s">
        <v>44</v>
      </c>
      <c r="G111" s="371" t="str">
        <f>G103</f>
        <v>Achalandage annuelle</v>
      </c>
      <c r="H111" s="371" t="s">
        <v>45</v>
      </c>
      <c r="I111" s="371" t="s">
        <v>46</v>
      </c>
      <c r="J111" s="865" t="s">
        <v>132</v>
      </c>
      <c r="K111" s="866"/>
      <c r="L111" s="866"/>
      <c r="M111" s="371" t="s">
        <v>49</v>
      </c>
      <c r="N111" s="863"/>
      <c r="P111" s="860"/>
      <c r="Q111" s="371" t="str">
        <f>Q103</f>
        <v>Demande mensuelle</v>
      </c>
      <c r="R111" s="371" t="s">
        <v>44</v>
      </c>
      <c r="S111" s="371" t="str">
        <f>S103</f>
        <v>Achalandage annuelle</v>
      </c>
      <c r="T111" s="371" t="s">
        <v>45</v>
      </c>
      <c r="U111" s="371" t="s">
        <v>46</v>
      </c>
      <c r="V111" s="865" t="str">
        <f>J111</f>
        <v>Dm/A</v>
      </c>
      <c r="W111" s="866"/>
      <c r="X111" s="866"/>
      <c r="Y111" s="371" t="s">
        <v>49</v>
      </c>
      <c r="Z111" s="863"/>
      <c r="AB111" s="860"/>
      <c r="AC111" s="371" t="str">
        <f>AC103</f>
        <v>Demande mensuelle</v>
      </c>
      <c r="AD111" s="371" t="s">
        <v>44</v>
      </c>
      <c r="AE111" s="371" t="str">
        <f>AE103</f>
        <v>Achalandage annuelle</v>
      </c>
      <c r="AF111" s="371" t="s">
        <v>45</v>
      </c>
      <c r="AG111" s="371" t="s">
        <v>46</v>
      </c>
      <c r="AH111" s="865" t="str">
        <f>V111</f>
        <v>Dm/A</v>
      </c>
      <c r="AI111" s="866"/>
      <c r="AJ111" s="866"/>
      <c r="AK111" s="371" t="s">
        <v>49</v>
      </c>
      <c r="AL111" s="863"/>
      <c r="AN111" s="860"/>
      <c r="AO111" s="371" t="str">
        <f>AO103</f>
        <v>Demande mensuelle</v>
      </c>
      <c r="AP111" s="371" t="s">
        <v>44</v>
      </c>
      <c r="AQ111" s="371" t="str">
        <f>AQ103</f>
        <v>Achalandage annuelle</v>
      </c>
      <c r="AR111" s="371" t="s">
        <v>45</v>
      </c>
      <c r="AS111" s="371" t="s">
        <v>46</v>
      </c>
      <c r="AT111" s="865" t="str">
        <f>AH111</f>
        <v>Dm/A</v>
      </c>
      <c r="AU111" s="866"/>
      <c r="AV111" s="866"/>
      <c r="AW111" s="371" t="s">
        <v>49</v>
      </c>
      <c r="AX111" s="863"/>
      <c r="AZ111" s="860"/>
      <c r="BA111" s="371" t="str">
        <f>BA103</f>
        <v>Coût annuel</v>
      </c>
      <c r="BB111" s="371" t="s">
        <v>44</v>
      </c>
      <c r="BC111" s="371" t="str">
        <f>BC103</f>
        <v>Achalandage annuelle</v>
      </c>
      <c r="BD111" s="371" t="s">
        <v>45</v>
      </c>
      <c r="BE111" s="371" t="s">
        <v>46</v>
      </c>
      <c r="BF111" s="865" t="s">
        <v>242</v>
      </c>
      <c r="BG111" s="866"/>
      <c r="BH111" s="866"/>
      <c r="BI111" s="371" t="s">
        <v>49</v>
      </c>
      <c r="BJ111" s="863"/>
      <c r="BL111" s="860"/>
      <c r="BM111" s="371" t="str">
        <f>BM103</f>
        <v>Bénéfice annuel</v>
      </c>
      <c r="BN111" s="371" t="s">
        <v>44</v>
      </c>
      <c r="BO111" s="371" t="str">
        <f>BO103</f>
        <v>Achalandage annuelle</v>
      </c>
      <c r="BP111" s="371" t="s">
        <v>45</v>
      </c>
      <c r="BQ111" s="371" t="s">
        <v>46</v>
      </c>
      <c r="BR111" s="865" t="s">
        <v>243</v>
      </c>
      <c r="BS111" s="866"/>
      <c r="BT111" s="866"/>
      <c r="BU111" s="371" t="s">
        <v>49</v>
      </c>
      <c r="BV111" s="863"/>
    </row>
    <row r="112" spans="2:74" ht="19" x14ac:dyDescent="0.25">
      <c r="B112" s="877"/>
      <c r="C112" s="882"/>
      <c r="D112" s="860"/>
      <c r="E112" s="372" t="s">
        <v>2</v>
      </c>
      <c r="F112" s="373"/>
      <c r="G112" s="372"/>
      <c r="H112" s="373"/>
      <c r="I112" s="373"/>
      <c r="J112" s="373"/>
      <c r="K112" s="373"/>
      <c r="L112" s="373"/>
      <c r="M112" s="373"/>
      <c r="N112" s="863"/>
      <c r="P112" s="860"/>
      <c r="Q112" s="372" t="s">
        <v>2</v>
      </c>
      <c r="R112" s="373"/>
      <c r="S112" s="372"/>
      <c r="T112" s="373"/>
      <c r="U112" s="373"/>
      <c r="V112" s="373"/>
      <c r="W112" s="373"/>
      <c r="X112" s="373"/>
      <c r="Y112" s="373"/>
      <c r="Z112" s="863"/>
      <c r="AB112" s="860"/>
      <c r="AC112" s="372" t="s">
        <v>2</v>
      </c>
      <c r="AD112" s="373"/>
      <c r="AE112" s="372"/>
      <c r="AF112" s="373"/>
      <c r="AG112" s="373"/>
      <c r="AH112" s="373"/>
      <c r="AI112" s="373"/>
      <c r="AJ112" s="373"/>
      <c r="AK112" s="373"/>
      <c r="AL112" s="863"/>
      <c r="AN112" s="860"/>
      <c r="AO112" s="372" t="s">
        <v>2</v>
      </c>
      <c r="AP112" s="373"/>
      <c r="AQ112" s="372"/>
      <c r="AR112" s="373"/>
      <c r="AS112" s="373"/>
      <c r="AT112" s="373"/>
      <c r="AU112" s="373"/>
      <c r="AV112" s="373"/>
      <c r="AW112" s="373"/>
      <c r="AX112" s="863"/>
      <c r="AZ112" s="860"/>
      <c r="BA112" s="372" t="s">
        <v>2</v>
      </c>
      <c r="BB112" s="373"/>
      <c r="BC112" s="372"/>
      <c r="BD112" s="373"/>
      <c r="BE112" s="373"/>
      <c r="BF112" s="373"/>
      <c r="BG112" s="373"/>
      <c r="BH112" s="373"/>
      <c r="BI112" s="373"/>
      <c r="BJ112" s="863"/>
      <c r="BL112" s="860"/>
      <c r="BM112" s="372" t="s">
        <v>2</v>
      </c>
      <c r="BN112" s="373"/>
      <c r="BO112" s="372"/>
      <c r="BP112" s="373"/>
      <c r="BQ112" s="373"/>
      <c r="BR112" s="373"/>
      <c r="BS112" s="373"/>
      <c r="BT112" s="373"/>
      <c r="BU112" s="373"/>
      <c r="BV112" s="863"/>
    </row>
    <row r="113" spans="2:74" ht="26" x14ac:dyDescent="0.3">
      <c r="B113" s="877"/>
      <c r="C113" s="882"/>
      <c r="D113" s="860"/>
      <c r="E113" s="374" t="str">
        <f>E105</f>
        <v>D</v>
      </c>
      <c r="F113" s="375"/>
      <c r="G113" s="374" t="str">
        <f>G105</f>
        <v>A</v>
      </c>
      <c r="H113" s="375"/>
      <c r="I113" s="375"/>
      <c r="J113" s="867" t="str">
        <f>J111</f>
        <v>Dm/A</v>
      </c>
      <c r="K113" s="866"/>
      <c r="L113" s="866"/>
      <c r="M113" s="375"/>
      <c r="N113" s="863"/>
      <c r="P113" s="860"/>
      <c r="Q113" s="374" t="str">
        <f>E113</f>
        <v>D</v>
      </c>
      <c r="R113" s="375"/>
      <c r="S113" s="374" t="str">
        <f>G113</f>
        <v>A</v>
      </c>
      <c r="T113" s="375"/>
      <c r="U113" s="375"/>
      <c r="V113" s="867" t="str">
        <f>V111</f>
        <v>Dm/A</v>
      </c>
      <c r="W113" s="866"/>
      <c r="X113" s="866"/>
      <c r="Y113" s="375"/>
      <c r="Z113" s="863"/>
      <c r="AB113" s="860"/>
      <c r="AC113" s="374" t="str">
        <f>AC105</f>
        <v>D</v>
      </c>
      <c r="AD113" s="375"/>
      <c r="AE113" s="374" t="str">
        <f>AE105</f>
        <v>A</v>
      </c>
      <c r="AF113" s="375"/>
      <c r="AG113" s="375"/>
      <c r="AH113" s="867" t="str">
        <f>AH111</f>
        <v>Dm/A</v>
      </c>
      <c r="AI113" s="866"/>
      <c r="AJ113" s="866"/>
      <c r="AK113" s="375"/>
      <c r="AL113" s="863"/>
      <c r="AN113" s="860"/>
      <c r="AO113" s="374" t="str">
        <f>AO105</f>
        <v>D</v>
      </c>
      <c r="AP113" s="375"/>
      <c r="AQ113" s="374" t="str">
        <f>AQ105</f>
        <v>A</v>
      </c>
      <c r="AR113" s="375"/>
      <c r="AS113" s="375"/>
      <c r="AT113" s="867" t="str">
        <f>AT111</f>
        <v>Dm/A</v>
      </c>
      <c r="AU113" s="866"/>
      <c r="AV113" s="866"/>
      <c r="AW113" s="375"/>
      <c r="AX113" s="863"/>
      <c r="AZ113" s="860"/>
      <c r="BA113" s="374" t="str">
        <f>BA105</f>
        <v xml:space="preserve">C </v>
      </c>
      <c r="BB113" s="375"/>
      <c r="BC113" s="374" t="s">
        <v>50</v>
      </c>
      <c r="BD113" s="375"/>
      <c r="BE113" s="375"/>
      <c r="BF113" s="867" t="str">
        <f>+BF111</f>
        <v>Cm/A</v>
      </c>
      <c r="BG113" s="866"/>
      <c r="BH113" s="866"/>
      <c r="BI113" s="375"/>
      <c r="BJ113" s="863"/>
      <c r="BL113" s="860"/>
      <c r="BM113" s="374" t="str">
        <f>BM105</f>
        <v xml:space="preserve">B </v>
      </c>
      <c r="BN113" s="375"/>
      <c r="BO113" s="374" t="str">
        <f>BO105</f>
        <v>A</v>
      </c>
      <c r="BP113" s="375"/>
      <c r="BQ113" s="375"/>
      <c r="BR113" s="867" t="str">
        <f>+BR111</f>
        <v>Bm/A</v>
      </c>
      <c r="BS113" s="866"/>
      <c r="BT113" s="866"/>
      <c r="BU113" s="375"/>
      <c r="BV113" s="863"/>
    </row>
    <row r="114" spans="2:74" ht="21" x14ac:dyDescent="0.25">
      <c r="B114" s="877"/>
      <c r="C114" s="882"/>
      <c r="D114" s="860"/>
      <c r="E114" s="340">
        <f>+Q114+AC114+AO114</f>
        <v>565309.875</v>
      </c>
      <c r="F114" s="371" t="s">
        <v>44</v>
      </c>
      <c r="G114" s="341">
        <f>+G106</f>
        <v>22875</v>
      </c>
      <c r="H114" s="371" t="s">
        <v>45</v>
      </c>
      <c r="I114" s="371" t="s">
        <v>46</v>
      </c>
      <c r="J114" s="868">
        <f>+E114/G114</f>
        <v>24.713000000000001</v>
      </c>
      <c r="K114" s="869"/>
      <c r="L114" s="869"/>
      <c r="M114" s="371" t="s">
        <v>49</v>
      </c>
      <c r="N114" s="863"/>
      <c r="P114" s="860"/>
      <c r="Q114" s="380">
        <f>+Q106</f>
        <v>404887.50000000006</v>
      </c>
      <c r="R114" s="371" t="s">
        <v>44</v>
      </c>
      <c r="S114" s="341">
        <f>+S106</f>
        <v>22875</v>
      </c>
      <c r="T114" s="371" t="s">
        <v>45</v>
      </c>
      <c r="U114" s="371" t="s">
        <v>46</v>
      </c>
      <c r="V114" s="868">
        <f>Q114/S114</f>
        <v>17.700000000000003</v>
      </c>
      <c r="W114" s="869"/>
      <c r="X114" s="869"/>
      <c r="Y114" s="371" t="s">
        <v>49</v>
      </c>
      <c r="Z114" s="863"/>
      <c r="AB114" s="860"/>
      <c r="AC114" s="380">
        <f>+AC106</f>
        <v>146834.62499999997</v>
      </c>
      <c r="AD114" s="371" t="s">
        <v>44</v>
      </c>
      <c r="AE114" s="341">
        <f>+AE106</f>
        <v>22875</v>
      </c>
      <c r="AF114" s="371" t="s">
        <v>45</v>
      </c>
      <c r="AG114" s="371" t="s">
        <v>46</v>
      </c>
      <c r="AH114" s="868">
        <f>AC114/AE114</f>
        <v>6.4189999999999987</v>
      </c>
      <c r="AI114" s="869"/>
      <c r="AJ114" s="869"/>
      <c r="AK114" s="371" t="s">
        <v>49</v>
      </c>
      <c r="AL114" s="863"/>
      <c r="AN114" s="860"/>
      <c r="AO114" s="380">
        <f>+AO106</f>
        <v>13587.75</v>
      </c>
      <c r="AP114" s="371" t="s">
        <v>44</v>
      </c>
      <c r="AQ114" s="341">
        <f>+AQ106</f>
        <v>22875</v>
      </c>
      <c r="AR114" s="371" t="s">
        <v>45</v>
      </c>
      <c r="AS114" s="371" t="s">
        <v>46</v>
      </c>
      <c r="AT114" s="868">
        <f>AO114/AQ114</f>
        <v>0.59399999999999997</v>
      </c>
      <c r="AU114" s="869"/>
      <c r="AV114" s="869"/>
      <c r="AW114" s="371" t="s">
        <v>49</v>
      </c>
      <c r="AX114" s="863"/>
      <c r="AZ114" s="860"/>
      <c r="BA114" s="380">
        <f>+BA106</f>
        <v>469766.17995846557</v>
      </c>
      <c r="BB114" s="371" t="s">
        <v>44</v>
      </c>
      <c r="BC114" s="341">
        <f>G114</f>
        <v>22875</v>
      </c>
      <c r="BD114" s="371" t="s">
        <v>45</v>
      </c>
      <c r="BE114" s="371" t="s">
        <v>46</v>
      </c>
      <c r="BF114" s="868">
        <f>BA114/BC114</f>
        <v>20.536226446271719</v>
      </c>
      <c r="BG114" s="869"/>
      <c r="BH114" s="869"/>
      <c r="BI114" s="371" t="s">
        <v>49</v>
      </c>
      <c r="BJ114" s="863"/>
      <c r="BL114" s="860"/>
      <c r="BM114" s="380">
        <f>+BM106</f>
        <v>95543.695041534447</v>
      </c>
      <c r="BN114" s="371" t="s">
        <v>44</v>
      </c>
      <c r="BO114" s="341">
        <f>S114</f>
        <v>22875</v>
      </c>
      <c r="BP114" s="371" t="s">
        <v>45</v>
      </c>
      <c r="BQ114" s="371" t="s">
        <v>46</v>
      </c>
      <c r="BR114" s="868">
        <f>BM114/BO114</f>
        <v>4.1767735537282817</v>
      </c>
      <c r="BS114" s="869"/>
      <c r="BT114" s="869"/>
      <c r="BU114" s="371" t="s">
        <v>49</v>
      </c>
      <c r="BV114" s="863"/>
    </row>
    <row r="115" spans="2:74" ht="17" thickBot="1" x14ac:dyDescent="0.25">
      <c r="B115" s="878"/>
      <c r="C115" s="882"/>
      <c r="D115" s="861"/>
      <c r="E115" s="376"/>
      <c r="F115" s="376"/>
      <c r="G115" s="376"/>
      <c r="H115" s="376"/>
      <c r="I115" s="376"/>
      <c r="J115" s="376"/>
      <c r="K115" s="376"/>
      <c r="L115" s="376"/>
      <c r="M115" s="376"/>
      <c r="N115" s="864"/>
      <c r="P115" s="861"/>
      <c r="Q115" s="376"/>
      <c r="R115" s="376"/>
      <c r="S115" s="376"/>
      <c r="T115" s="376"/>
      <c r="U115" s="376"/>
      <c r="V115" s="376"/>
      <c r="W115" s="376"/>
      <c r="X115" s="376"/>
      <c r="Y115" s="376"/>
      <c r="Z115" s="864"/>
      <c r="AB115" s="861"/>
      <c r="AC115" s="376"/>
      <c r="AD115" s="376"/>
      <c r="AE115" s="376"/>
      <c r="AF115" s="376"/>
      <c r="AG115" s="376"/>
      <c r="AH115" s="376"/>
      <c r="AI115" s="376"/>
      <c r="AJ115" s="376"/>
      <c r="AK115" s="376"/>
      <c r="AL115" s="864"/>
      <c r="AN115" s="861"/>
      <c r="AO115" s="376"/>
      <c r="AP115" s="376"/>
      <c r="AQ115" s="376"/>
      <c r="AR115" s="376"/>
      <c r="AS115" s="376"/>
      <c r="AT115" s="376"/>
      <c r="AU115" s="376"/>
      <c r="AV115" s="376"/>
      <c r="AW115" s="376"/>
      <c r="AX115" s="864"/>
      <c r="AZ115" s="861"/>
      <c r="BA115" s="376"/>
      <c r="BB115" s="376"/>
      <c r="BC115" s="376"/>
      <c r="BD115" s="376"/>
      <c r="BE115" s="376"/>
      <c r="BF115" s="376"/>
      <c r="BG115" s="376"/>
      <c r="BH115" s="376"/>
      <c r="BI115" s="376"/>
      <c r="BJ115" s="864"/>
      <c r="BL115" s="861"/>
      <c r="BM115" s="376"/>
      <c r="BN115" s="376"/>
      <c r="BO115" s="376"/>
      <c r="BP115" s="376"/>
      <c r="BQ115" s="376"/>
      <c r="BR115" s="376"/>
      <c r="BS115" s="376"/>
      <c r="BT115" s="376"/>
      <c r="BU115" s="376"/>
      <c r="BV115" s="864"/>
    </row>
    <row r="116" spans="2:74" x14ac:dyDescent="0.15">
      <c r="C116" s="210"/>
    </row>
    <row r="117" spans="2:74" ht="18" x14ac:dyDescent="0.2">
      <c r="D117" s="162" t="s">
        <v>131</v>
      </c>
      <c r="E117" s="162"/>
    </row>
    <row r="118" spans="2:74" ht="18" x14ac:dyDescent="0.2">
      <c r="D118" s="162" t="s">
        <v>130</v>
      </c>
      <c r="E118" s="162"/>
    </row>
    <row r="119" spans="2:74" ht="18" x14ac:dyDescent="0.2">
      <c r="D119" s="162" t="s">
        <v>129</v>
      </c>
      <c r="E119" s="162"/>
    </row>
    <row r="120" spans="2:74" ht="18" x14ac:dyDescent="0.2">
      <c r="D120" s="162" t="s">
        <v>128</v>
      </c>
      <c r="E120" s="162"/>
    </row>
    <row r="121" spans="2:74" ht="18" x14ac:dyDescent="0.2">
      <c r="D121" s="162" t="s">
        <v>127</v>
      </c>
      <c r="E121" s="162"/>
    </row>
    <row r="122" spans="2:74" ht="18" x14ac:dyDescent="0.2">
      <c r="C122" s="162"/>
      <c r="D122" s="162"/>
    </row>
    <row r="123" spans="2:74" ht="18" x14ac:dyDescent="0.2">
      <c r="D123" s="164" t="s">
        <v>169</v>
      </c>
      <c r="E123" s="164"/>
      <c r="F123" s="163"/>
      <c r="G123" s="163"/>
      <c r="H123" s="163"/>
      <c r="I123" s="163"/>
    </row>
  </sheetData>
  <sheetProtection algorithmName="SHA-512" hashValue="B+X9Dz+zXyC1PnzXAH6SLCjLb54Oy+/DxBCD862lnvnleAdGsiH3zRlpwXkpBvDNXMfNR97NI0o2CxnV5ldleA==" saltValue="rfb1USgBrXfuWITS4WA1kw==" spinCount="100000" sheet="1" objects="1" scenarios="1"/>
  <mergeCells count="214">
    <mergeCell ref="C29:C35"/>
    <mergeCell ref="D29:D35"/>
    <mergeCell ref="N29:N35"/>
    <mergeCell ref="C37:C43"/>
    <mergeCell ref="D37:D43"/>
    <mergeCell ref="N37:N43"/>
    <mergeCell ref="C5:C11"/>
    <mergeCell ref="C13:C19"/>
    <mergeCell ref="C21:C27"/>
    <mergeCell ref="D21:D27"/>
    <mergeCell ref="N21:N27"/>
    <mergeCell ref="N5:N11"/>
    <mergeCell ref="D13:D19"/>
    <mergeCell ref="N13:N19"/>
    <mergeCell ref="D5:D11"/>
    <mergeCell ref="D61:D67"/>
    <mergeCell ref="N61:N67"/>
    <mergeCell ref="C69:C75"/>
    <mergeCell ref="D69:D75"/>
    <mergeCell ref="N69:N75"/>
    <mergeCell ref="C45:C51"/>
    <mergeCell ref="D45:D51"/>
    <mergeCell ref="N45:N51"/>
    <mergeCell ref="C53:C59"/>
    <mergeCell ref="D53:D59"/>
    <mergeCell ref="N53:N59"/>
    <mergeCell ref="O5:O11"/>
    <mergeCell ref="C109:C115"/>
    <mergeCell ref="D109:D115"/>
    <mergeCell ref="N109:N115"/>
    <mergeCell ref="J113:L113"/>
    <mergeCell ref="J111:L111"/>
    <mergeCell ref="J114:L114"/>
    <mergeCell ref="B5:B27"/>
    <mergeCell ref="B29:B51"/>
    <mergeCell ref="B53:B75"/>
    <mergeCell ref="B77:B99"/>
    <mergeCell ref="C93:C99"/>
    <mergeCell ref="D93:D99"/>
    <mergeCell ref="N93:N99"/>
    <mergeCell ref="C101:C107"/>
    <mergeCell ref="D101:D107"/>
    <mergeCell ref="N101:N107"/>
    <mergeCell ref="C77:C83"/>
    <mergeCell ref="D77:D83"/>
    <mergeCell ref="N77:N83"/>
    <mergeCell ref="C85:C91"/>
    <mergeCell ref="D85:D91"/>
    <mergeCell ref="N85:N91"/>
    <mergeCell ref="C61:C67"/>
    <mergeCell ref="P13:P19"/>
    <mergeCell ref="Z13:Z19"/>
    <mergeCell ref="P21:P27"/>
    <mergeCell ref="Z21:Z27"/>
    <mergeCell ref="P29:P35"/>
    <mergeCell ref="Z29:Z35"/>
    <mergeCell ref="P2:Z3"/>
    <mergeCell ref="P5:P11"/>
    <mergeCell ref="Z5:Z11"/>
    <mergeCell ref="P61:P67"/>
    <mergeCell ref="Z61:Z67"/>
    <mergeCell ref="P69:P75"/>
    <mergeCell ref="Z69:Z75"/>
    <mergeCell ref="P77:P83"/>
    <mergeCell ref="Z77:Z83"/>
    <mergeCell ref="P37:P43"/>
    <mergeCell ref="Z37:Z43"/>
    <mergeCell ref="P45:P51"/>
    <mergeCell ref="Z45:Z51"/>
    <mergeCell ref="P53:P59"/>
    <mergeCell ref="Z53:Z59"/>
    <mergeCell ref="P109:P115"/>
    <mergeCell ref="Z109:Z115"/>
    <mergeCell ref="V111:X111"/>
    <mergeCell ref="V113:X113"/>
    <mergeCell ref="V114:X114"/>
    <mergeCell ref="P85:P91"/>
    <mergeCell ref="Z85:Z91"/>
    <mergeCell ref="P93:P99"/>
    <mergeCell ref="Z93:Z99"/>
    <mergeCell ref="P101:P107"/>
    <mergeCell ref="Z101:Z107"/>
    <mergeCell ref="AB21:AB27"/>
    <mergeCell ref="AL21:AL27"/>
    <mergeCell ref="AB29:AB35"/>
    <mergeCell ref="AL29:AL35"/>
    <mergeCell ref="AB37:AB43"/>
    <mergeCell ref="AL37:AL43"/>
    <mergeCell ref="AB2:AL3"/>
    <mergeCell ref="AA5:AA11"/>
    <mergeCell ref="AB5:AB11"/>
    <mergeCell ref="AL5:AL11"/>
    <mergeCell ref="AB13:AB19"/>
    <mergeCell ref="AL13:AL19"/>
    <mergeCell ref="AB69:AB75"/>
    <mergeCell ref="AL69:AL75"/>
    <mergeCell ref="AB77:AB83"/>
    <mergeCell ref="AL77:AL83"/>
    <mergeCell ref="AB85:AB91"/>
    <mergeCell ref="AL85:AL91"/>
    <mergeCell ref="AB45:AB51"/>
    <mergeCell ref="AL45:AL51"/>
    <mergeCell ref="AB53:AB59"/>
    <mergeCell ref="AL53:AL59"/>
    <mergeCell ref="AB61:AB67"/>
    <mergeCell ref="AL61:AL67"/>
    <mergeCell ref="AB93:AB99"/>
    <mergeCell ref="AL93:AL99"/>
    <mergeCell ref="AB101:AB107"/>
    <mergeCell ref="AL101:AL107"/>
    <mergeCell ref="AB109:AB115"/>
    <mergeCell ref="AL109:AL115"/>
    <mergeCell ref="AH111:AJ111"/>
    <mergeCell ref="AH113:AJ113"/>
    <mergeCell ref="AH114:AJ114"/>
    <mergeCell ref="AX21:AX27"/>
    <mergeCell ref="AN29:AN35"/>
    <mergeCell ref="AX29:AX35"/>
    <mergeCell ref="AN37:AN43"/>
    <mergeCell ref="AX37:AX43"/>
    <mergeCell ref="AN2:AX3"/>
    <mergeCell ref="AM5:AM11"/>
    <mergeCell ref="AN5:AN11"/>
    <mergeCell ref="AX5:AX11"/>
    <mergeCell ref="AN13:AN19"/>
    <mergeCell ref="AX13:AX19"/>
    <mergeCell ref="B101:B115"/>
    <mergeCell ref="D2:N3"/>
    <mergeCell ref="AN93:AN99"/>
    <mergeCell ref="AX93:AX99"/>
    <mergeCell ref="AN101:AN107"/>
    <mergeCell ref="AX101:AX107"/>
    <mergeCell ref="AN109:AN115"/>
    <mergeCell ref="AX109:AX115"/>
    <mergeCell ref="AT111:AV111"/>
    <mergeCell ref="AT113:AV113"/>
    <mergeCell ref="AT114:AV114"/>
    <mergeCell ref="AN69:AN75"/>
    <mergeCell ref="AX69:AX75"/>
    <mergeCell ref="AN77:AN83"/>
    <mergeCell ref="AX77:AX83"/>
    <mergeCell ref="AN85:AN91"/>
    <mergeCell ref="AX85:AX91"/>
    <mergeCell ref="AN45:AN51"/>
    <mergeCell ref="AX45:AX51"/>
    <mergeCell ref="AN53:AN59"/>
    <mergeCell ref="AX53:AX59"/>
    <mergeCell ref="AN61:AN67"/>
    <mergeCell ref="AX61:AX67"/>
    <mergeCell ref="AN21:AN27"/>
    <mergeCell ref="AZ101:AZ107"/>
    <mergeCell ref="BJ101:BJ107"/>
    <mergeCell ref="AZ109:AZ115"/>
    <mergeCell ref="BJ109:BJ115"/>
    <mergeCell ref="BF111:BH111"/>
    <mergeCell ref="BF113:BH113"/>
    <mergeCell ref="BF114:BH114"/>
    <mergeCell ref="AZ2:BJ3"/>
    <mergeCell ref="BL2:BV3"/>
    <mergeCell ref="BL101:BL107"/>
    <mergeCell ref="BV101:BV107"/>
    <mergeCell ref="BL109:BL115"/>
    <mergeCell ref="BV109:BV115"/>
    <mergeCell ref="BR111:BT111"/>
    <mergeCell ref="BR113:BT113"/>
    <mergeCell ref="BR114:BT114"/>
    <mergeCell ref="AZ5:AZ11"/>
    <mergeCell ref="BJ5:BJ11"/>
    <mergeCell ref="BL5:BL11"/>
    <mergeCell ref="BV5:BV11"/>
    <mergeCell ref="AZ13:AZ19"/>
    <mergeCell ref="BJ13:BJ19"/>
    <mergeCell ref="BL13:BL19"/>
    <mergeCell ref="BV13:BV19"/>
    <mergeCell ref="AZ21:AZ27"/>
    <mergeCell ref="BJ21:BJ27"/>
    <mergeCell ref="BL21:BL27"/>
    <mergeCell ref="BV21:BV27"/>
    <mergeCell ref="AZ29:AZ35"/>
    <mergeCell ref="BJ29:BJ35"/>
    <mergeCell ref="AZ37:AZ43"/>
    <mergeCell ref="BJ37:BJ43"/>
    <mergeCell ref="AZ45:AZ51"/>
    <mergeCell ref="BJ45:BJ51"/>
    <mergeCell ref="BL29:BL35"/>
    <mergeCell ref="BV29:BV35"/>
    <mergeCell ref="BL37:BL43"/>
    <mergeCell ref="BV37:BV43"/>
    <mergeCell ref="BL45:BL51"/>
    <mergeCell ref="BV45:BV51"/>
    <mergeCell ref="AZ53:AZ59"/>
    <mergeCell ref="BJ53:BJ59"/>
    <mergeCell ref="AZ61:AZ67"/>
    <mergeCell ref="BJ61:BJ67"/>
    <mergeCell ref="AZ69:AZ75"/>
    <mergeCell ref="BJ69:BJ75"/>
    <mergeCell ref="BL53:BL59"/>
    <mergeCell ref="BV53:BV59"/>
    <mergeCell ref="BL61:BL67"/>
    <mergeCell ref="BV61:BV67"/>
    <mergeCell ref="BL69:BL75"/>
    <mergeCell ref="BV69:BV75"/>
    <mergeCell ref="AZ77:AZ83"/>
    <mergeCell ref="BJ77:BJ83"/>
    <mergeCell ref="AZ85:AZ91"/>
    <mergeCell ref="BJ85:BJ91"/>
    <mergeCell ref="AZ93:AZ99"/>
    <mergeCell ref="BJ93:BJ99"/>
    <mergeCell ref="BL77:BL83"/>
    <mergeCell ref="BV77:BV83"/>
    <mergeCell ref="BL85:BL91"/>
    <mergeCell ref="BV85:BV91"/>
    <mergeCell ref="BL93:BL99"/>
    <mergeCell ref="BV93:BV99"/>
  </mergeCells>
  <pageMargins left="0.75" right="0.75" top="1" bottom="1" header="0.5" footer="0.5"/>
  <pageSetup orientation="portrait" horizontalDpi="4294967292" verticalDpi="4294967292"/>
  <ignoredErrors>
    <ignoredError sqref="AV10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AA9B-8BAF-0D41-A3A4-3D5200103F3E}">
  <sheetPr codeName="Feuil5">
    <tabColor indexed="46"/>
    <pageSetUpPr fitToPage="1"/>
  </sheetPr>
  <dimension ref="B1:BL48"/>
  <sheetViews>
    <sheetView tabSelected="1" zoomScale="150" zoomScaleNormal="150" zoomScalePageLayoutView="150" workbookViewId="0">
      <pane xSplit="3" ySplit="9" topLeftCell="D10" activePane="bottomRight" state="frozen"/>
      <selection pane="topRight" activeCell="C1" sqref="C1"/>
      <selection pane="bottomLeft" activeCell="A10" sqref="A10"/>
      <selection pane="bottomRight" activeCell="C1" sqref="C1"/>
    </sheetView>
  </sheetViews>
  <sheetFormatPr baseColWidth="10" defaultRowHeight="13" x14ac:dyDescent="0.15"/>
  <cols>
    <col min="1" max="2" width="1.5" style="161" customWidth="1"/>
    <col min="3" max="3" width="56.33203125" style="161" bestFit="1" customWidth="1"/>
    <col min="4" max="4" width="1" style="161" customWidth="1"/>
    <col min="5" max="5" width="14.6640625" style="161" customWidth="1"/>
    <col min="6" max="6" width="9.1640625" style="161" customWidth="1"/>
    <col min="7" max="7" width="1" style="161" customWidth="1"/>
    <col min="8" max="8" width="14.6640625" style="161" customWidth="1"/>
    <col min="9" max="9" width="9.1640625" style="161" customWidth="1"/>
    <col min="10" max="10" width="0.83203125" style="161" customWidth="1"/>
    <col min="11" max="11" width="14.6640625" style="161" customWidth="1"/>
    <col min="12" max="12" width="9.1640625" style="161" customWidth="1"/>
    <col min="13" max="13" width="0.83203125" style="161" customWidth="1"/>
    <col min="14" max="14" width="14.6640625" style="161" customWidth="1"/>
    <col min="15" max="15" width="9.1640625" style="161" customWidth="1"/>
    <col min="16" max="16" width="0.83203125" style="161" customWidth="1"/>
    <col min="17" max="17" width="14.6640625" style="161" customWidth="1"/>
    <col min="18" max="18" width="9.1640625" style="161" customWidth="1"/>
    <col min="19" max="19" width="0.83203125" style="161" customWidth="1"/>
    <col min="20" max="20" width="14.6640625" style="161" customWidth="1"/>
    <col min="21" max="21" width="9.1640625" style="161" customWidth="1"/>
    <col min="22" max="22" width="1.6640625" style="161" customWidth="1"/>
    <col min="23" max="23" width="12.5" style="161" customWidth="1"/>
    <col min="24" max="24" width="9.6640625" style="161" customWidth="1"/>
    <col min="25" max="25" width="0.83203125" style="161" customWidth="1"/>
    <col min="26" max="26" width="14.6640625" style="161" customWidth="1"/>
    <col min="27" max="27" width="9.1640625" style="161" customWidth="1"/>
    <col min="28" max="28" width="0.83203125" style="161" customWidth="1"/>
    <col min="29" max="29" width="14.6640625" style="161" customWidth="1"/>
    <col min="30" max="30" width="9.1640625" style="161" customWidth="1"/>
    <col min="31" max="31" width="0.83203125" style="161" customWidth="1"/>
    <col min="32" max="32" width="14.6640625" style="161" customWidth="1"/>
    <col min="33" max="33" width="9.1640625" style="161" customWidth="1"/>
    <col min="34" max="34" width="0.83203125" style="161" customWidth="1"/>
    <col min="35" max="35" width="14.6640625" style="161" customWidth="1"/>
    <col min="36" max="36" width="9.1640625" style="161" customWidth="1"/>
    <col min="37" max="37" width="0.83203125" style="161" customWidth="1"/>
    <col min="38" max="38" width="14.6640625" style="161" customWidth="1"/>
    <col min="39" max="39" width="9.1640625" style="161" customWidth="1"/>
    <col min="40" max="41" width="0.83203125" style="161" customWidth="1"/>
    <col min="42" max="42" width="14.6640625" style="161" customWidth="1"/>
    <col min="43" max="43" width="9.1640625" style="161" customWidth="1"/>
    <col min="44" max="44" width="0.83203125" style="161" customWidth="1"/>
    <col min="45" max="46" width="14.6640625" style="161" customWidth="1"/>
    <col min="47" max="47" width="0.83203125" style="161" customWidth="1"/>
    <col min="48" max="48" width="14.6640625" style="161" customWidth="1"/>
    <col min="49" max="49" width="2.1640625" style="161" customWidth="1"/>
    <col min="50" max="50" width="10.33203125" style="161" bestFit="1" customWidth="1"/>
    <col min="51" max="51" width="16.83203125" style="161" customWidth="1"/>
    <col min="52" max="52" width="11.33203125" style="161" customWidth="1"/>
    <col min="53" max="53" width="2.33203125" style="161" customWidth="1"/>
    <col min="54" max="54" width="8.5" style="161" bestFit="1" customWidth="1"/>
    <col min="55" max="55" width="19.1640625" style="161" bestFit="1" customWidth="1"/>
    <col min="56" max="56" width="2.5" style="161" bestFit="1" customWidth="1"/>
    <col min="57" max="57" width="26.83203125" style="161" bestFit="1" customWidth="1"/>
    <col min="58" max="58" width="2.33203125" style="161" bestFit="1" customWidth="1"/>
    <col min="59" max="59" width="2" style="161" bestFit="1" customWidth="1"/>
    <col min="60" max="60" width="10.83203125" style="161"/>
    <col min="61" max="61" width="2.33203125" style="161" bestFit="1" customWidth="1"/>
    <col min="62" max="62" width="10.83203125" style="161"/>
    <col min="63" max="63" width="2" style="161" bestFit="1" customWidth="1"/>
    <col min="64" max="64" width="8.5" style="161" bestFit="1" customWidth="1"/>
    <col min="65" max="16384" width="10.83203125" style="161"/>
  </cols>
  <sheetData>
    <row r="1" spans="2:64" ht="14" thickBot="1" x14ac:dyDescent="0.2"/>
    <row r="2" spans="2:64" ht="20" customHeight="1" thickTop="1" x14ac:dyDescent="0.2">
      <c r="C2" s="680" t="s">
        <v>386</v>
      </c>
      <c r="E2" s="161" t="s">
        <v>2</v>
      </c>
      <c r="F2" s="161" t="s">
        <v>2</v>
      </c>
      <c r="AL2" s="161" t="s">
        <v>2</v>
      </c>
      <c r="BB2" s="898" t="s">
        <v>42</v>
      </c>
      <c r="BC2" s="369"/>
      <c r="BD2" s="369"/>
      <c r="BE2" s="369"/>
      <c r="BF2" s="369"/>
      <c r="BG2" s="369"/>
      <c r="BH2" s="369"/>
      <c r="BI2" s="369"/>
      <c r="BJ2" s="369"/>
      <c r="BK2" s="369"/>
      <c r="BL2" s="901" t="s">
        <v>43</v>
      </c>
    </row>
    <row r="3" spans="2:64" ht="20" customHeight="1" x14ac:dyDescent="0.2">
      <c r="C3" s="681" t="s">
        <v>164</v>
      </c>
      <c r="E3" s="161" t="s">
        <v>2</v>
      </c>
      <c r="AL3" s="161" t="s">
        <v>2</v>
      </c>
      <c r="BB3" s="899"/>
      <c r="BC3" s="370"/>
      <c r="BD3" s="370"/>
      <c r="BE3" s="370"/>
      <c r="BF3" s="370"/>
      <c r="BG3" s="370"/>
      <c r="BH3" s="370"/>
      <c r="BI3" s="370"/>
      <c r="BJ3" s="370"/>
      <c r="BK3" s="370"/>
      <c r="BL3" s="902"/>
    </row>
    <row r="4" spans="2:64" ht="20" customHeight="1" thickBot="1" x14ac:dyDescent="0.3">
      <c r="C4" s="682" t="s">
        <v>165</v>
      </c>
      <c r="BB4" s="899"/>
      <c r="BC4" s="371" t="str">
        <f>'Formule pour le calcul D'!BM103</f>
        <v>Bénéfice annuel</v>
      </c>
      <c r="BD4" s="371" t="s">
        <v>44</v>
      </c>
      <c r="BE4" s="371" t="str">
        <f>'Formule pour le calcul D'!BO103</f>
        <v>Achalandage annuelle</v>
      </c>
      <c r="BF4" s="371" t="s">
        <v>45</v>
      </c>
      <c r="BG4" s="371" t="s">
        <v>46</v>
      </c>
      <c r="BH4" s="371" t="str">
        <f>'Formule pour le calcul D'!BR103</f>
        <v>Um/A</v>
      </c>
      <c r="BI4" s="371" t="s">
        <v>45</v>
      </c>
      <c r="BJ4" s="371" t="str">
        <f>'Formule pour le calcul D'!BT103</f>
        <v>BmO</v>
      </c>
      <c r="BK4" s="371" t="s">
        <v>49</v>
      </c>
      <c r="BL4" s="902"/>
    </row>
    <row r="5" spans="2:64" ht="21" thickTop="1" thickBot="1" x14ac:dyDescent="0.3">
      <c r="C5" s="166"/>
      <c r="G5" s="161" t="s">
        <v>2</v>
      </c>
      <c r="BB5" s="899"/>
      <c r="BC5" s="372" t="s">
        <v>2</v>
      </c>
      <c r="BD5" s="373"/>
      <c r="BE5" s="372"/>
      <c r="BF5" s="373"/>
      <c r="BG5" s="373"/>
      <c r="BH5" s="373"/>
      <c r="BI5" s="373"/>
      <c r="BJ5" s="373"/>
      <c r="BK5" s="373"/>
      <c r="BL5" s="902"/>
    </row>
    <row r="6" spans="2:64" ht="27" thickTop="1" x14ac:dyDescent="0.3">
      <c r="C6" s="167" t="s">
        <v>134</v>
      </c>
      <c r="D6" s="161" t="s">
        <v>2</v>
      </c>
      <c r="E6" s="608" t="s">
        <v>135</v>
      </c>
      <c r="F6" s="169">
        <f>E14/$C$7/'Calendrier 2021'!D8</f>
        <v>24.713000000000001</v>
      </c>
      <c r="G6" s="170" t="s">
        <v>2</v>
      </c>
      <c r="H6" s="608" t="str">
        <f>E6</f>
        <v>Rev. / place / jour</v>
      </c>
      <c r="I6" s="169">
        <f>H14/$C$7/'Calendrier 2021'!E8</f>
        <v>22.241700000000002</v>
      </c>
      <c r="J6" s="170"/>
      <c r="K6" s="608" t="str">
        <f>H6</f>
        <v>Rev. / place / jour</v>
      </c>
      <c r="L6" s="169">
        <f>K14/$C$7/'Calendrier 2021'!F8</f>
        <v>24.713000000000001</v>
      </c>
      <c r="M6" s="170"/>
      <c r="N6" s="168" t="str">
        <f>K6</f>
        <v>Rev. / place / jour</v>
      </c>
      <c r="O6" s="169">
        <f>N14/$C$7/'Calendrier 2021'!G8</f>
        <v>27.184300000000004</v>
      </c>
      <c r="P6" s="171"/>
      <c r="Q6" s="608" t="str">
        <f>N6</f>
        <v>Rev. / place / jour</v>
      </c>
      <c r="R6" s="169">
        <f>Q14/$C$7/'Calendrier 2021'!H8</f>
        <v>29.655600000000007</v>
      </c>
      <c r="S6" s="170"/>
      <c r="T6" s="608" t="str">
        <f>Q6</f>
        <v>Rev. / place / jour</v>
      </c>
      <c r="U6" s="169">
        <f>T14/$C$7/'Calendrier 2021'!I8</f>
        <v>37.069499999999998</v>
      </c>
      <c r="V6" s="170" t="s">
        <v>2</v>
      </c>
      <c r="W6" s="608" t="str">
        <f>T6</f>
        <v>Rev. / place / jour</v>
      </c>
      <c r="X6" s="169">
        <f>W14/$C$7/'Calendrier 2021'!J8</f>
        <v>49.426000000000002</v>
      </c>
      <c r="Y6" s="170"/>
      <c r="Z6" s="608" t="str">
        <f>W6</f>
        <v>Rev. / place / jour</v>
      </c>
      <c r="AA6" s="169">
        <f>Z14/$C$7/'Calendrier 2021'!K8</f>
        <v>44.483400000000003</v>
      </c>
      <c r="AB6" s="170"/>
      <c r="AC6" s="608" t="str">
        <f>Z6</f>
        <v>Rev. / place / jour</v>
      </c>
      <c r="AD6" s="169">
        <f>AC14/$C$7/'Calendrier 2021'!L8</f>
        <v>29.6556</v>
      </c>
      <c r="AE6" s="170"/>
      <c r="AF6" s="608" t="str">
        <f>AC6</f>
        <v>Rev. / place / jour</v>
      </c>
      <c r="AG6" s="169">
        <f>AF14/$C$7/'Calendrier 2021'!M8</f>
        <v>27.1843</v>
      </c>
      <c r="AH6" s="170"/>
      <c r="AI6" s="608" t="str">
        <f>AF6</f>
        <v>Rev. / place / jour</v>
      </c>
      <c r="AJ6" s="169">
        <f>AI14/$C$7/'Calendrier 2021'!N8</f>
        <v>24.713000000000001</v>
      </c>
      <c r="AK6" s="170"/>
      <c r="AL6" s="608" t="str">
        <f>AI6</f>
        <v>Rev. / place / jour</v>
      </c>
      <c r="AM6" s="169">
        <f>AL14/$C$7/'Calendrier 2021'!O8</f>
        <v>29.655600000000007</v>
      </c>
      <c r="AN6" s="170"/>
      <c r="AO6" s="170"/>
      <c r="AP6" s="608" t="str">
        <f>AL6</f>
        <v>Rev. / place / jour</v>
      </c>
      <c r="AQ6" s="169">
        <f>+AP14/C7/'% Occupation'!P9</f>
        <v>30.975883561643837</v>
      </c>
      <c r="AR6" s="170"/>
      <c r="AS6" s="629" t="str">
        <f>+AP6</f>
        <v>Rev. / place / jour</v>
      </c>
      <c r="AT6" s="172">
        <f>AS14/C7/'% Occupation'!P8</f>
        <v>27.043130410958902</v>
      </c>
      <c r="AU6" s="170"/>
      <c r="AV6" s="170"/>
      <c r="AW6" s="170"/>
      <c r="AY6" s="896" t="s">
        <v>136</v>
      </c>
      <c r="AZ6" s="896"/>
      <c r="BB6" s="899"/>
      <c r="BC6" s="683" t="str">
        <f>'Formule pour le calcul D'!BM105</f>
        <v xml:space="preserve">B </v>
      </c>
      <c r="BD6" s="375"/>
      <c r="BE6" s="374" t="str">
        <f>'Formule pour le calcul D'!BO105</f>
        <v>A</v>
      </c>
      <c r="BF6" s="375"/>
      <c r="BG6" s="375"/>
      <c r="BH6" s="374" t="str">
        <f>BH4</f>
        <v>Um/A</v>
      </c>
      <c r="BI6" s="375"/>
      <c r="BJ6" s="374" t="str">
        <f>BJ4</f>
        <v>BmO</v>
      </c>
      <c r="BK6" s="375"/>
      <c r="BL6" s="902"/>
    </row>
    <row r="7" spans="2:64" ht="21" x14ac:dyDescent="0.25">
      <c r="C7" s="297">
        <f>'Calendrier 2021'!D7</f>
        <v>50</v>
      </c>
      <c r="D7" s="161" t="s">
        <v>2</v>
      </c>
      <c r="E7" s="296">
        <f>E14/$AP$14</f>
        <v>6.7759562841530063E-2</v>
      </c>
      <c r="F7" s="177"/>
      <c r="G7" s="175" t="s">
        <v>2</v>
      </c>
      <c r="H7" s="296">
        <f>H14/$AP$14</f>
        <v>5.5081967213114758E-2</v>
      </c>
      <c r="I7" s="177"/>
      <c r="J7" s="175"/>
      <c r="K7" s="296">
        <f>K14/$AP$14</f>
        <v>6.7759562841530063E-2</v>
      </c>
      <c r="L7" s="177"/>
      <c r="M7" s="175"/>
      <c r="N7" s="173">
        <f>N14/$AP$14</f>
        <v>7.2131147540983612E-2</v>
      </c>
      <c r="O7" s="174"/>
      <c r="P7" s="176"/>
      <c r="Q7" s="296">
        <f>Q14/$AP$14</f>
        <v>8.1311475409836076E-2</v>
      </c>
      <c r="R7" s="177"/>
      <c r="S7" s="175"/>
      <c r="T7" s="296">
        <f>T14/$AP$14</f>
        <v>9.836065573770493E-2</v>
      </c>
      <c r="U7" s="177"/>
      <c r="V7" s="175"/>
      <c r="W7" s="296">
        <f>W14/$AP$14</f>
        <v>0.13551912568306013</v>
      </c>
      <c r="X7" s="177"/>
      <c r="Y7" s="175"/>
      <c r="Z7" s="296">
        <f>Z14/$AP$14</f>
        <v>0.1219672131147541</v>
      </c>
      <c r="AA7" s="177"/>
      <c r="AB7" s="175"/>
      <c r="AC7" s="296">
        <f>AC14/$AP$14</f>
        <v>7.8688524590163941E-2</v>
      </c>
      <c r="AD7" s="177"/>
      <c r="AE7" s="175"/>
      <c r="AF7" s="296">
        <f>AF14/$AP$14</f>
        <v>7.4535519125683056E-2</v>
      </c>
      <c r="AG7" s="177"/>
      <c r="AH7" s="175"/>
      <c r="AI7" s="296">
        <f>AI14/$AP$14</f>
        <v>6.5573770491803282E-2</v>
      </c>
      <c r="AJ7" s="177"/>
      <c r="AK7" s="175"/>
      <c r="AL7" s="296">
        <f>AL14/$AP$14</f>
        <v>8.1311475409836076E-2</v>
      </c>
      <c r="AM7" s="614"/>
      <c r="AN7" s="170"/>
      <c r="AO7" s="170"/>
      <c r="AP7" s="296">
        <f>+E7+H7+K7+N7+Q7+T7+W7+Z7+AC7+AF7+AI7+AL7</f>
        <v>1</v>
      </c>
      <c r="AQ7" s="624" t="s">
        <v>137</v>
      </c>
      <c r="AR7" s="170"/>
      <c r="AS7" s="179">
        <f>AP7</f>
        <v>1</v>
      </c>
      <c r="AT7" s="630" t="str">
        <f>+AQ7</f>
        <v>365 jours</v>
      </c>
      <c r="AU7" s="170"/>
      <c r="AV7" s="170"/>
      <c r="AW7" s="170"/>
      <c r="AY7" s="896"/>
      <c r="AZ7" s="896"/>
      <c r="BB7" s="899"/>
      <c r="BC7" s="684">
        <f>AP45</f>
        <v>95543.695041534447</v>
      </c>
      <c r="BD7" s="371" t="s">
        <v>44</v>
      </c>
      <c r="BE7" s="685">
        <f>'Formule pour le calcul D'!G106</f>
        <v>22875</v>
      </c>
      <c r="BF7" s="371" t="s">
        <v>45</v>
      </c>
      <c r="BG7" s="371" t="s">
        <v>46</v>
      </c>
      <c r="BH7" s="686">
        <f>'Formule pour le calcul D'!J106</f>
        <v>2.2200000000000002</v>
      </c>
      <c r="BI7" s="371" t="s">
        <v>45</v>
      </c>
      <c r="BJ7" s="687">
        <f>BC7/BE7/BH7</f>
        <v>1.8814295287064331</v>
      </c>
      <c r="BK7" s="371" t="s">
        <v>49</v>
      </c>
      <c r="BL7" s="902"/>
    </row>
    <row r="8" spans="2:64" ht="17" thickBot="1" x14ac:dyDescent="0.25">
      <c r="C8" s="180" t="s">
        <v>138</v>
      </c>
      <c r="D8" s="161" t="s">
        <v>2</v>
      </c>
      <c r="E8" s="621" t="str">
        <f>'Calendrier 2021'!D5</f>
        <v>Pér.01</v>
      </c>
      <c r="F8" s="622" t="s">
        <v>139</v>
      </c>
      <c r="G8" s="183" t="s">
        <v>2</v>
      </c>
      <c r="H8" s="621" t="str">
        <f>'Calendrier 2021'!E5</f>
        <v>Pér.02</v>
      </c>
      <c r="I8" s="623" t="str">
        <f>+F8</f>
        <v>(%)</v>
      </c>
      <c r="J8" s="183"/>
      <c r="K8" s="621" t="str">
        <f>'Calendrier 2021'!F5</f>
        <v>Pér.03</v>
      </c>
      <c r="L8" s="623" t="str">
        <f>+I8</f>
        <v>(%)</v>
      </c>
      <c r="M8" s="183"/>
      <c r="N8" s="181" t="str">
        <f>'Calendrier 2021'!G5</f>
        <v>Pér.04</v>
      </c>
      <c r="O8" s="184" t="str">
        <f>+L8</f>
        <v>(%)</v>
      </c>
      <c r="P8" s="185"/>
      <c r="Q8" s="621" t="str">
        <f>'Calendrier 2021'!H5</f>
        <v>Pér.05</v>
      </c>
      <c r="R8" s="623" t="str">
        <f>+O8</f>
        <v>(%)</v>
      </c>
      <c r="S8" s="183"/>
      <c r="T8" s="621" t="str">
        <f>'Calendrier 2021'!I5</f>
        <v>Pér.06</v>
      </c>
      <c r="U8" s="623" t="str">
        <f>+R8</f>
        <v>(%)</v>
      </c>
      <c r="V8" s="183"/>
      <c r="W8" s="621" t="str">
        <f>'Calendrier 2021'!J5</f>
        <v>Pér.07</v>
      </c>
      <c r="X8" s="623" t="str">
        <f>+U8</f>
        <v>(%)</v>
      </c>
      <c r="Y8" s="183"/>
      <c r="Z8" s="621" t="str">
        <f>'Calendrier 2021'!K5</f>
        <v>Pér.08</v>
      </c>
      <c r="AA8" s="623" t="str">
        <f>+X8</f>
        <v>(%)</v>
      </c>
      <c r="AB8" s="183"/>
      <c r="AC8" s="621" t="str">
        <f>'Calendrier 2021'!L5</f>
        <v>Pér.09</v>
      </c>
      <c r="AD8" s="623" t="str">
        <f>+AA8</f>
        <v>(%)</v>
      </c>
      <c r="AE8" s="183"/>
      <c r="AF8" s="621" t="str">
        <f>'Calendrier 2021'!M5</f>
        <v>Pér.10</v>
      </c>
      <c r="AG8" s="623" t="str">
        <f>+AD8</f>
        <v>(%)</v>
      </c>
      <c r="AH8" s="183"/>
      <c r="AI8" s="621" t="str">
        <f>'Calendrier 2021'!N5</f>
        <v>Pér.11</v>
      </c>
      <c r="AJ8" s="623" t="str">
        <f>+AG8</f>
        <v>(%)</v>
      </c>
      <c r="AK8" s="183"/>
      <c r="AL8" s="621" t="str">
        <f>'Calendrier 2021'!O5</f>
        <v>Pér.12</v>
      </c>
      <c r="AM8" s="623" t="str">
        <f>+AJ8</f>
        <v>(%)</v>
      </c>
      <c r="AN8" s="183"/>
      <c r="AO8" s="183"/>
      <c r="AP8" s="625" t="s">
        <v>10</v>
      </c>
      <c r="AQ8" s="626" t="str">
        <f>+AM8</f>
        <v>(%)</v>
      </c>
      <c r="AS8" s="179" t="str">
        <f>+AP8</f>
        <v>Total</v>
      </c>
      <c r="AT8" s="186" t="str">
        <f>+AQ8</f>
        <v>(%)</v>
      </c>
      <c r="AY8" s="896"/>
      <c r="AZ8" s="896"/>
      <c r="BB8" s="900"/>
      <c r="BC8" s="376"/>
      <c r="BD8" s="376"/>
      <c r="BE8" s="376"/>
      <c r="BF8" s="376"/>
      <c r="BG8" s="376"/>
      <c r="BH8" s="376"/>
      <c r="BI8" s="376"/>
      <c r="BJ8" s="376"/>
      <c r="BK8" s="376"/>
      <c r="BL8" s="903"/>
    </row>
    <row r="9" spans="2:64" ht="15" thickTop="1" thickBot="1" x14ac:dyDescent="0.2">
      <c r="C9" s="187">
        <f>+AP14/C7</f>
        <v>11306.1975</v>
      </c>
      <c r="D9" s="161" t="s">
        <v>2</v>
      </c>
      <c r="E9" s="611" t="str">
        <f>'Calendrier 2021'!D6</f>
        <v>Janvier 2021</v>
      </c>
      <c r="F9" s="612" t="s">
        <v>2</v>
      </c>
      <c r="G9" s="293" t="s">
        <v>2</v>
      </c>
      <c r="H9" s="611" t="str">
        <f>'Calendrier 2021'!E6</f>
        <v>Février 2021</v>
      </c>
      <c r="I9" s="612" t="str">
        <f>+F9</f>
        <v xml:space="preserve"> </v>
      </c>
      <c r="J9" s="294"/>
      <c r="K9" s="611" t="str">
        <f>'Calendrier 2021'!F6</f>
        <v>Mars 2021</v>
      </c>
      <c r="L9" s="612" t="str">
        <f>+I9</f>
        <v xml:space="preserve"> </v>
      </c>
      <c r="M9" s="293"/>
      <c r="N9" s="291" t="str">
        <f>'Calendrier 2021'!G6</f>
        <v>Avril 2021</v>
      </c>
      <c r="O9" s="292" t="str">
        <f>+L9</f>
        <v xml:space="preserve"> </v>
      </c>
      <c r="P9" s="295"/>
      <c r="Q9" s="611" t="str">
        <f>'Calendrier 2021'!H6</f>
        <v>Mai 2021</v>
      </c>
      <c r="R9" s="612" t="str">
        <f>+O9</f>
        <v xml:space="preserve"> </v>
      </c>
      <c r="S9" s="293"/>
      <c r="T9" s="611" t="str">
        <f>'Calendrier 2021'!I6</f>
        <v>Juin 2021</v>
      </c>
      <c r="U9" s="612" t="str">
        <f>+R9</f>
        <v xml:space="preserve"> </v>
      </c>
      <c r="V9" s="293"/>
      <c r="W9" s="611" t="str">
        <f>'Calendrier 2021'!J6</f>
        <v>Juillet 2021</v>
      </c>
      <c r="X9" s="612" t="str">
        <f>+U9</f>
        <v xml:space="preserve"> </v>
      </c>
      <c r="Y9" s="293"/>
      <c r="Z9" s="611" t="str">
        <f>'Calendrier 2021'!K6</f>
        <v>Août 2021</v>
      </c>
      <c r="AA9" s="612" t="str">
        <f>+X9</f>
        <v xml:space="preserve"> </v>
      </c>
      <c r="AB9" s="293"/>
      <c r="AC9" s="611" t="str">
        <f>'Calendrier 2021'!L6</f>
        <v>Septembre 2021</v>
      </c>
      <c r="AD9" s="612" t="str">
        <f>+AA9</f>
        <v xml:space="preserve"> </v>
      </c>
      <c r="AE9" s="293"/>
      <c r="AF9" s="611" t="str">
        <f>'Calendrier 2021'!M6</f>
        <v>Octobre 2021</v>
      </c>
      <c r="AG9" s="612" t="str">
        <f>+AD9</f>
        <v xml:space="preserve"> </v>
      </c>
      <c r="AH9" s="293"/>
      <c r="AI9" s="611" t="str">
        <f>'Calendrier 2021'!N6</f>
        <v>Novembre 2021</v>
      </c>
      <c r="AJ9" s="612" t="str">
        <f>+AG9</f>
        <v xml:space="preserve"> </v>
      </c>
      <c r="AK9" s="293"/>
      <c r="AL9" s="611" t="str">
        <f>'Calendrier 2021'!O6</f>
        <v>Décembre 2021</v>
      </c>
      <c r="AM9" s="612" t="str">
        <f>+AJ9</f>
        <v xml:space="preserve"> </v>
      </c>
      <c r="AN9" s="188"/>
      <c r="AO9" s="188"/>
      <c r="AP9" s="627" t="s">
        <v>30</v>
      </c>
      <c r="AQ9" s="628" t="str">
        <f>+AM9</f>
        <v xml:space="preserve"> </v>
      </c>
      <c r="AS9" s="189" t="str">
        <f>+AP9</f>
        <v>Année</v>
      </c>
      <c r="AT9" s="631" t="s">
        <v>2</v>
      </c>
      <c r="AY9" s="897"/>
      <c r="AZ9" s="897"/>
    </row>
    <row r="10" spans="2:64" ht="17" thickTop="1" x14ac:dyDescent="0.2">
      <c r="C10" s="190" t="s">
        <v>140</v>
      </c>
      <c r="D10" s="161" t="s">
        <v>2</v>
      </c>
      <c r="E10" s="191"/>
      <c r="F10" s="192"/>
      <c r="G10" s="161" t="s">
        <v>2</v>
      </c>
      <c r="H10" s="191"/>
      <c r="I10" s="192"/>
      <c r="K10" s="191"/>
      <c r="L10" s="192"/>
      <c r="N10" s="191"/>
      <c r="O10" s="192"/>
      <c r="P10" s="193"/>
      <c r="Q10" s="191"/>
      <c r="R10" s="192"/>
      <c r="T10" s="191"/>
      <c r="U10" s="192"/>
      <c r="W10" s="191"/>
      <c r="X10" s="192"/>
      <c r="Z10" s="191"/>
      <c r="AA10" s="192"/>
      <c r="AC10" s="191"/>
      <c r="AD10" s="192"/>
      <c r="AF10" s="191"/>
      <c r="AG10" s="192"/>
      <c r="AI10" s="191"/>
      <c r="AJ10" s="192"/>
      <c r="AL10" s="191"/>
      <c r="AM10" s="192"/>
      <c r="AP10" s="194"/>
      <c r="AQ10" s="195"/>
      <c r="AS10" s="196"/>
      <c r="AT10" s="197"/>
      <c r="AX10" s="198" t="s">
        <v>141</v>
      </c>
      <c r="AY10" s="199">
        <v>441566</v>
      </c>
      <c r="AZ10" s="200">
        <f>+AY10/AY22</f>
        <v>6.8928860438281447E-2</v>
      </c>
    </row>
    <row r="11" spans="2:64" ht="16" x14ac:dyDescent="0.2">
      <c r="C11" s="201" t="s">
        <v>177</v>
      </c>
      <c r="E11" s="202">
        <f>E14*$AQ$11</f>
        <v>27435.000000000004</v>
      </c>
      <c r="F11" s="288">
        <f>+E11/E14</f>
        <v>0.7162222312143407</v>
      </c>
      <c r="G11" s="203" t="s">
        <v>2</v>
      </c>
      <c r="H11" s="202">
        <f>H14*$AQ$11</f>
        <v>22302.000000000004</v>
      </c>
      <c r="I11" s="288">
        <f>+H11/H14</f>
        <v>0.7162222312143407</v>
      </c>
      <c r="K11" s="202">
        <f>K14*$AQ$11</f>
        <v>27435.000000000004</v>
      </c>
      <c r="L11" s="288">
        <f>+K11/K14</f>
        <v>0.7162222312143407</v>
      </c>
      <c r="N11" s="202">
        <f>N14*$AQ$11</f>
        <v>29205.000000000007</v>
      </c>
      <c r="O11" s="288">
        <f>+N11/N14</f>
        <v>0.7162222312143407</v>
      </c>
      <c r="P11" s="193"/>
      <c r="Q11" s="202">
        <f>Q14*$AQ$11</f>
        <v>32922.000000000007</v>
      </c>
      <c r="R11" s="288">
        <f>+Q11/Q14</f>
        <v>0.7162222312143407</v>
      </c>
      <c r="T11" s="202">
        <f>T14*$AQ$11</f>
        <v>39825.000000000007</v>
      </c>
      <c r="U11" s="288">
        <f>+T11/T14</f>
        <v>0.7162222312143407</v>
      </c>
      <c r="W11" s="202">
        <f>W14*$AQ$11</f>
        <v>54870.000000000007</v>
      </c>
      <c r="X11" s="288">
        <f>+W11/W14</f>
        <v>0.7162222312143407</v>
      </c>
      <c r="Z11" s="202">
        <f>Z14*$AQ$11</f>
        <v>49383.000000000007</v>
      </c>
      <c r="AA11" s="288">
        <f>+Z11/Z14</f>
        <v>0.7162222312143407</v>
      </c>
      <c r="AC11" s="202">
        <f>AC14*$AQ$11</f>
        <v>31860.000000000004</v>
      </c>
      <c r="AD11" s="288">
        <f>+AC11/AC14</f>
        <v>0.7162222312143407</v>
      </c>
      <c r="AF11" s="202">
        <f>AF14*$AQ$11</f>
        <v>30178.500000000004</v>
      </c>
      <c r="AG11" s="288">
        <f>+AF11/AF14</f>
        <v>0.7162222312143407</v>
      </c>
      <c r="AI11" s="202">
        <f>AI14*$AQ$11</f>
        <v>26550.000000000004</v>
      </c>
      <c r="AJ11" s="288">
        <f>+AI11/AI14</f>
        <v>0.7162222312143407</v>
      </c>
      <c r="AK11" s="161" t="s">
        <v>142</v>
      </c>
      <c r="AL11" s="202">
        <f>AL14*$AQ$11</f>
        <v>32922.000000000007</v>
      </c>
      <c r="AM11" s="288">
        <f>+AL11/AL14</f>
        <v>0.7162222312143407</v>
      </c>
      <c r="AP11" s="204">
        <f>'Formule pour le calcul D'!Q114</f>
        <v>404887.50000000006</v>
      </c>
      <c r="AQ11" s="195">
        <f>+AP11/AP14</f>
        <v>0.7162222312143407</v>
      </c>
      <c r="AS11" s="205">
        <f>+AT11*AV14</f>
        <v>389894.33270000003</v>
      </c>
      <c r="AT11" s="688">
        <v>0.79</v>
      </c>
      <c r="AW11" s="161" t="s">
        <v>2</v>
      </c>
      <c r="AX11" s="198" t="s">
        <v>143</v>
      </c>
      <c r="AY11" s="207">
        <v>435539</v>
      </c>
      <c r="AZ11" s="208">
        <f>+AY11/AY22</f>
        <v>6.7988040171636094E-2</v>
      </c>
    </row>
    <row r="12" spans="2:64" ht="16" x14ac:dyDescent="0.2">
      <c r="C12" s="201" t="s">
        <v>178</v>
      </c>
      <c r="E12" s="202">
        <f>+E14*$AQ$12</f>
        <v>9949.4499999999971</v>
      </c>
      <c r="F12" s="288">
        <f>+E12/E14</f>
        <v>0.25974183628050007</v>
      </c>
      <c r="H12" s="202">
        <f>+H14*$AQ$12</f>
        <v>8087.9399999999978</v>
      </c>
      <c r="I12" s="288">
        <f>+H12/H14</f>
        <v>0.25974183628050007</v>
      </c>
      <c r="K12" s="202">
        <f>+K14*$AQ$12</f>
        <v>9949.4499999999971</v>
      </c>
      <c r="L12" s="288">
        <f>+K12/K14</f>
        <v>0.25974183628050007</v>
      </c>
      <c r="N12" s="202">
        <f>+N14*$AQ$12</f>
        <v>10591.349999999999</v>
      </c>
      <c r="O12" s="288">
        <f>+N12/N14</f>
        <v>0.25974183628050007</v>
      </c>
      <c r="P12" s="193"/>
      <c r="Q12" s="202">
        <f>+Q14*$AQ$12</f>
        <v>11939.339999999998</v>
      </c>
      <c r="R12" s="288">
        <f>+Q12/Q14</f>
        <v>0.25974183628050007</v>
      </c>
      <c r="T12" s="202">
        <f>+T14*$AQ$12</f>
        <v>14442.749999999998</v>
      </c>
      <c r="U12" s="288">
        <f>+T12/T14</f>
        <v>0.25974183628050007</v>
      </c>
      <c r="W12" s="202">
        <f>+W14*$AQ$12</f>
        <v>19898.899999999994</v>
      </c>
      <c r="X12" s="288">
        <f>+W12/W14</f>
        <v>0.25974183628050007</v>
      </c>
      <c r="Z12" s="202">
        <f>+Z14*$AQ$12</f>
        <v>17909.009999999995</v>
      </c>
      <c r="AA12" s="288">
        <f>+Z12/Z14</f>
        <v>0.25974183628050007</v>
      </c>
      <c r="AC12" s="202">
        <f>+AC14*$AQ$12</f>
        <v>11554.199999999997</v>
      </c>
      <c r="AD12" s="288">
        <f>+AC12/AC14</f>
        <v>0.25974183628050007</v>
      </c>
      <c r="AF12" s="202">
        <f>+AF14*$AQ$12</f>
        <v>10944.394999999997</v>
      </c>
      <c r="AG12" s="288">
        <f>+AF12/AF14</f>
        <v>0.25974183628050007</v>
      </c>
      <c r="AI12" s="202">
        <f>+AI14*$AQ$12</f>
        <v>9628.4999999999982</v>
      </c>
      <c r="AJ12" s="288">
        <f>+AI12/AI14</f>
        <v>0.25974183628050007</v>
      </c>
      <c r="AL12" s="202">
        <f>+AL14*$AQ$12</f>
        <v>11939.339999999998</v>
      </c>
      <c r="AM12" s="288">
        <f>+AL12/AL14</f>
        <v>0.25974183628050007</v>
      </c>
      <c r="AP12" s="204">
        <f>'Formule pour le calcul D'!AC114</f>
        <v>146834.62499999997</v>
      </c>
      <c r="AQ12" s="195">
        <f>+AP12/AP14</f>
        <v>0.25974183628050007</v>
      </c>
      <c r="AS12" s="205">
        <f>+AT12*AV14</f>
        <v>91797.906180000005</v>
      </c>
      <c r="AT12" s="688">
        <v>0.186</v>
      </c>
      <c r="AX12" s="198" t="s">
        <v>144</v>
      </c>
      <c r="AY12" s="207">
        <v>494989</v>
      </c>
      <c r="AZ12" s="208">
        <f>+AY12/AY22</f>
        <v>7.7268240080722916E-2</v>
      </c>
    </row>
    <row r="13" spans="2:64" ht="17" thickBot="1" x14ac:dyDescent="0.25">
      <c r="C13" s="201" t="s">
        <v>179</v>
      </c>
      <c r="E13" s="202">
        <f>+E14*$AQ$13</f>
        <v>920.69999999999993</v>
      </c>
      <c r="F13" s="288">
        <f>+E13/E14</f>
        <v>2.4035932505159226E-2</v>
      </c>
      <c r="H13" s="202">
        <f>+H14*$AQ$13</f>
        <v>748.43999999999994</v>
      </c>
      <c r="I13" s="288">
        <f>+H13/H14</f>
        <v>2.4035932505159226E-2</v>
      </c>
      <c r="K13" s="202">
        <f>+K14*$AQ$13</f>
        <v>920.69999999999993</v>
      </c>
      <c r="L13" s="288">
        <f>+K13/K14</f>
        <v>2.4035932505159226E-2</v>
      </c>
      <c r="N13" s="202">
        <f>+N14*$AQ$13</f>
        <v>980.1</v>
      </c>
      <c r="O13" s="288">
        <f>+N13/N14</f>
        <v>2.4035932505159226E-2</v>
      </c>
      <c r="P13" s="193"/>
      <c r="Q13" s="202">
        <f>+Q14*$AQ$13</f>
        <v>1104.8400000000001</v>
      </c>
      <c r="R13" s="288">
        <f>+Q13/Q14</f>
        <v>2.4035932505159226E-2</v>
      </c>
      <c r="T13" s="202">
        <f>+T14*$AQ$13</f>
        <v>1336.5</v>
      </c>
      <c r="U13" s="288">
        <f>+T13/T14</f>
        <v>2.4035932505159226E-2</v>
      </c>
      <c r="W13" s="202">
        <f>+W14*$AQ$13</f>
        <v>1841.3999999999999</v>
      </c>
      <c r="X13" s="288">
        <f>+W13/W14</f>
        <v>2.4035932505159226E-2</v>
      </c>
      <c r="Z13" s="202">
        <f>+Z14*$AQ$13</f>
        <v>1657.26</v>
      </c>
      <c r="AA13" s="288">
        <f>+Z13/Z14</f>
        <v>2.4035932505159226E-2</v>
      </c>
      <c r="AC13" s="202">
        <f>+AC14*$AQ$13</f>
        <v>1069.2</v>
      </c>
      <c r="AD13" s="288">
        <f>+AC13/AC14</f>
        <v>2.403593250515923E-2</v>
      </c>
      <c r="AF13" s="202">
        <f>+AF14*$AQ$13</f>
        <v>1012.77</v>
      </c>
      <c r="AG13" s="288">
        <f>+AF13/AF14</f>
        <v>2.4035932505159226E-2</v>
      </c>
      <c r="AI13" s="202">
        <f>+AI14*$AQ$13</f>
        <v>890.99999999999989</v>
      </c>
      <c r="AJ13" s="288">
        <f>+AI13/AI14</f>
        <v>2.4035932505159226E-2</v>
      </c>
      <c r="AL13" s="202">
        <f>+AL14*$AQ$13</f>
        <v>1104.8400000000001</v>
      </c>
      <c r="AM13" s="288">
        <f>+AL13/AL14</f>
        <v>2.4035932505159226E-2</v>
      </c>
      <c r="AP13" s="204">
        <f>'Formule pour le calcul D'!AO114</f>
        <v>13587.75</v>
      </c>
      <c r="AQ13" s="195">
        <f>+AP13/AP14</f>
        <v>2.4035932505159226E-2</v>
      </c>
      <c r="AS13" s="205">
        <f>+AT13*AV14</f>
        <v>11844.89112</v>
      </c>
      <c r="AT13" s="688">
        <v>2.4E-2</v>
      </c>
      <c r="AV13" s="210"/>
      <c r="AX13" s="198" t="s">
        <v>145</v>
      </c>
      <c r="AY13" s="207">
        <v>521013</v>
      </c>
      <c r="AZ13" s="208">
        <f>+AY13/AY22</f>
        <v>8.1330610516956309E-2</v>
      </c>
    </row>
    <row r="14" spans="2:64" ht="18" thickTop="1" thickBot="1" x14ac:dyDescent="0.25">
      <c r="C14" s="596" t="s">
        <v>146</v>
      </c>
      <c r="D14" s="211"/>
      <c r="E14" s="597">
        <f>'Formule pour le calcul D'!E10</f>
        <v>38305.15</v>
      </c>
      <c r="F14" s="598">
        <f>SUM(F11:F13)</f>
        <v>1</v>
      </c>
      <c r="G14" s="213"/>
      <c r="H14" s="597">
        <f>'Formule pour le calcul D'!E18</f>
        <v>31138.38</v>
      </c>
      <c r="I14" s="598">
        <f>SUM(I11:I13)</f>
        <v>1</v>
      </c>
      <c r="J14" s="211"/>
      <c r="K14" s="597">
        <f>'Formule pour le calcul D'!E26</f>
        <v>38305.15</v>
      </c>
      <c r="L14" s="598">
        <f>SUM(L11:L13)</f>
        <v>1</v>
      </c>
      <c r="M14" s="211"/>
      <c r="N14" s="597">
        <f>'Formule pour le calcul D'!E34</f>
        <v>40776.450000000004</v>
      </c>
      <c r="O14" s="598">
        <f>SUM(O11:O13)</f>
        <v>1</v>
      </c>
      <c r="P14" s="213"/>
      <c r="Q14" s="597">
        <f>'Formule pour le calcul D'!E42</f>
        <v>45966.180000000008</v>
      </c>
      <c r="R14" s="598">
        <f>SUM(R11:R13)</f>
        <v>1</v>
      </c>
      <c r="S14" s="211"/>
      <c r="T14" s="597">
        <f>'Formule pour le calcul D'!E50</f>
        <v>55604.250000000007</v>
      </c>
      <c r="U14" s="598">
        <f>SUM(U11:U13)</f>
        <v>1</v>
      </c>
      <c r="V14" s="214"/>
      <c r="W14" s="597">
        <f>'Formule pour le calcul D'!E58</f>
        <v>76610.3</v>
      </c>
      <c r="X14" s="598">
        <f>SUM(X11:X13)</f>
        <v>1</v>
      </c>
      <c r="Y14" s="214"/>
      <c r="Z14" s="597">
        <f>'Formule pour le calcul D'!E66</f>
        <v>68949.27</v>
      </c>
      <c r="AA14" s="598">
        <f>SUM(AA11:AA13)</f>
        <v>1</v>
      </c>
      <c r="AB14" s="214"/>
      <c r="AC14" s="597">
        <f>'Formule pour le calcul D'!E74</f>
        <v>44483.4</v>
      </c>
      <c r="AD14" s="598">
        <f>SUM(AD11:AD13)</f>
        <v>1</v>
      </c>
      <c r="AE14" s="214"/>
      <c r="AF14" s="597">
        <f>'Formule pour le calcul D'!E82</f>
        <v>42135.665000000001</v>
      </c>
      <c r="AG14" s="598">
        <f>SUM(AG11:AG13)</f>
        <v>1</v>
      </c>
      <c r="AH14" s="214"/>
      <c r="AI14" s="597">
        <f>'Formule pour le calcul D'!E90</f>
        <v>37069.5</v>
      </c>
      <c r="AJ14" s="598">
        <f>SUM(AJ11:AJ13)</f>
        <v>1</v>
      </c>
      <c r="AK14" s="214"/>
      <c r="AL14" s="597">
        <f>'Formule pour le calcul D'!E98</f>
        <v>45966.180000000008</v>
      </c>
      <c r="AM14" s="598">
        <f>SUM(AM11:AM13)</f>
        <v>1</v>
      </c>
      <c r="AN14" s="214"/>
      <c r="AO14" s="214"/>
      <c r="AP14" s="599">
        <f t="shared" ref="AP14" si="0">+$AL14+$AI14+$AF14+$AC14+$Z14+$W14+$T14+$Q14+$N14+$K14+$H14+$E14</f>
        <v>565309.875</v>
      </c>
      <c r="AQ14" s="598">
        <f>SUM(AQ11:AQ13)</f>
        <v>1</v>
      </c>
      <c r="AR14" s="211"/>
      <c r="AS14" s="600">
        <f>SUM(AS11:AS13)</f>
        <v>493537.13</v>
      </c>
      <c r="AT14" s="601">
        <f>SUM(AT11:AT13)</f>
        <v>1</v>
      </c>
      <c r="AU14" s="211"/>
      <c r="AV14" s="689">
        <v>493537.13</v>
      </c>
      <c r="AW14" s="211"/>
      <c r="AX14" s="198" t="s">
        <v>147</v>
      </c>
      <c r="AY14" s="207">
        <v>553877</v>
      </c>
      <c r="AZ14" s="208">
        <f>+AY14/AY22</f>
        <v>8.6460711270736443E-2</v>
      </c>
    </row>
    <row r="15" spans="2:64" ht="17" thickTop="1" x14ac:dyDescent="0.2">
      <c r="C15" s="201"/>
      <c r="E15" s="219"/>
      <c r="F15" s="192"/>
      <c r="H15" s="219"/>
      <c r="I15" s="192"/>
      <c r="K15" s="219"/>
      <c r="L15" s="192"/>
      <c r="N15" s="219"/>
      <c r="O15" s="192"/>
      <c r="P15" s="193"/>
      <c r="Q15" s="219"/>
      <c r="R15" s="192"/>
      <c r="T15" s="219"/>
      <c r="U15" s="192"/>
      <c r="W15" s="219"/>
      <c r="X15" s="192"/>
      <c r="Z15" s="219"/>
      <c r="AA15" s="192"/>
      <c r="AC15" s="219"/>
      <c r="AD15" s="192"/>
      <c r="AF15" s="219"/>
      <c r="AG15" s="192"/>
      <c r="AI15" s="219"/>
      <c r="AJ15" s="192"/>
      <c r="AL15" s="219"/>
      <c r="AM15" s="192"/>
      <c r="AP15" s="220"/>
      <c r="AQ15" s="195"/>
      <c r="AS15" s="221"/>
      <c r="AT15" s="222"/>
      <c r="AX15" s="198" t="s">
        <v>148</v>
      </c>
      <c r="AY15" s="207">
        <v>573787</v>
      </c>
      <c r="AZ15" s="208">
        <f>+AY15/AY22</f>
        <v>8.9568680659969729E-2</v>
      </c>
    </row>
    <row r="16" spans="2:64" ht="16" x14ac:dyDescent="0.2">
      <c r="B16" s="210"/>
      <c r="C16" s="223" t="s">
        <v>192</v>
      </c>
      <c r="D16" s="224"/>
      <c r="E16" s="225">
        <f>'Coût marchandises vendues'!D14</f>
        <v>11581.22552</v>
      </c>
      <c r="F16" s="226">
        <f>+E16/E14</f>
        <v>0.30234121312669443</v>
      </c>
      <c r="G16" s="227"/>
      <c r="H16" s="225">
        <f>'Coût marchandises vendues'!G14</f>
        <v>9414.4155839999985</v>
      </c>
      <c r="I16" s="226">
        <f>H$16/H$14</f>
        <v>0.30234121312669437</v>
      </c>
      <c r="J16" s="227"/>
      <c r="K16" s="225">
        <f>'Coût marchandises vendues'!J14</f>
        <v>11581.22552</v>
      </c>
      <c r="L16" s="226">
        <f>K$16/K$14</f>
        <v>0.30234121312669443</v>
      </c>
      <c r="M16" s="227"/>
      <c r="N16" s="225">
        <f>'Coût marchandises vendues'!M14</f>
        <v>12328.40136</v>
      </c>
      <c r="O16" s="226">
        <f>N$16/N$14</f>
        <v>0.30234121312669443</v>
      </c>
      <c r="P16" s="227"/>
      <c r="Q16" s="225">
        <f>'Coût marchandises vendues'!P14</f>
        <v>13897.470624000001</v>
      </c>
      <c r="R16" s="226">
        <f>Q$16/Q$14</f>
        <v>0.30234121312669443</v>
      </c>
      <c r="S16" s="227"/>
      <c r="T16" s="225">
        <f>'Coût marchandises vendues'!S14</f>
        <v>16811.456400000003</v>
      </c>
      <c r="U16" s="226">
        <f>T$16/T$14</f>
        <v>0.30234121312669449</v>
      </c>
      <c r="V16" s="227"/>
      <c r="W16" s="225">
        <f>'Coût marchandises vendues'!V14</f>
        <v>23162.45104</v>
      </c>
      <c r="X16" s="226">
        <f>W$16/W$14</f>
        <v>0.30234121312669443</v>
      </c>
      <c r="Y16" s="227"/>
      <c r="Z16" s="225">
        <f>'Coût marchandises vendues'!Y14</f>
        <v>20846.205936000002</v>
      </c>
      <c r="AA16" s="226">
        <f>Z$16/Z$14</f>
        <v>0.30234121312669449</v>
      </c>
      <c r="AB16" s="227"/>
      <c r="AC16" s="225">
        <f>'Coût marchandises vendues'!AB14</f>
        <v>13449.16512</v>
      </c>
      <c r="AD16" s="226">
        <f>AC$16/AC$14</f>
        <v>0.30234121312669443</v>
      </c>
      <c r="AE16" s="227"/>
      <c r="AF16" s="225">
        <f>'Coût marchandises vendues'!AE14</f>
        <v>12739.348072000001</v>
      </c>
      <c r="AG16" s="226">
        <f>AF$16/AF$14</f>
        <v>0.30234121312669449</v>
      </c>
      <c r="AH16" s="227"/>
      <c r="AI16" s="225">
        <f>'Coût marchandises vendues'!AH14</f>
        <v>11207.6376</v>
      </c>
      <c r="AJ16" s="226">
        <f>AI$16/AI$14</f>
        <v>0.30234121312669443</v>
      </c>
      <c r="AK16" s="227"/>
      <c r="AL16" s="225">
        <f>'Coût marchandises vendues'!AK14</f>
        <v>13897.470624000001</v>
      </c>
      <c r="AM16" s="226">
        <f>AL$16/AL$14</f>
        <v>0.30234121312669443</v>
      </c>
      <c r="AN16" s="227"/>
      <c r="AO16" s="227"/>
      <c r="AP16" s="228">
        <f>+$AL16+$AI16+$AF16+$AC16+$Z16+$W16+$T16+$Q16+$N16+$K16+$H16+$E16</f>
        <v>170916.47340000002</v>
      </c>
      <c r="AQ16" s="229">
        <f>AP$16/AP$14</f>
        <v>0.30234121312669449</v>
      </c>
      <c r="AS16" s="230">
        <f>+AT16*AV14</f>
        <v>183595.81236000001</v>
      </c>
      <c r="AT16" s="690">
        <v>0.372</v>
      </c>
      <c r="AV16" s="161" t="s">
        <v>2</v>
      </c>
      <c r="AX16" s="198" t="s">
        <v>149</v>
      </c>
      <c r="AY16" s="207">
        <v>617566</v>
      </c>
      <c r="AZ16" s="208">
        <f>+AY16/AY22</f>
        <v>9.6402622995039738E-2</v>
      </c>
    </row>
    <row r="17" spans="3:52" ht="16" x14ac:dyDescent="0.2">
      <c r="C17" s="201"/>
      <c r="E17" s="219"/>
      <c r="F17" s="192"/>
      <c r="H17" s="219"/>
      <c r="I17" s="192"/>
      <c r="K17" s="219"/>
      <c r="L17" s="192"/>
      <c r="N17" s="219"/>
      <c r="O17" s="192"/>
      <c r="P17" s="193"/>
      <c r="Q17" s="219"/>
      <c r="R17" s="192"/>
      <c r="T17" s="219"/>
      <c r="U17" s="192"/>
      <c r="W17" s="219"/>
      <c r="X17" s="192"/>
      <c r="Z17" s="219"/>
      <c r="AA17" s="192"/>
      <c r="AC17" s="219"/>
      <c r="AD17" s="192"/>
      <c r="AF17" s="219"/>
      <c r="AG17" s="192"/>
      <c r="AI17" s="219"/>
      <c r="AJ17" s="192"/>
      <c r="AL17" s="219"/>
      <c r="AM17" s="192"/>
      <c r="AP17" s="220"/>
      <c r="AQ17" s="195"/>
      <c r="AS17" s="221"/>
      <c r="AT17" s="222"/>
      <c r="AX17" s="198" t="s">
        <v>150</v>
      </c>
      <c r="AY17" s="207">
        <v>604969</v>
      </c>
      <c r="AZ17" s="208">
        <f>+AY17/AY22</f>
        <v>9.4436219660224488E-2</v>
      </c>
    </row>
    <row r="18" spans="3:52" ht="17" thickBot="1" x14ac:dyDescent="0.25">
      <c r="C18" s="232" t="s">
        <v>151</v>
      </c>
      <c r="E18" s="233" t="s">
        <v>2</v>
      </c>
      <c r="F18" s="192"/>
      <c r="H18" s="234"/>
      <c r="I18" s="192"/>
      <c r="K18" s="234"/>
      <c r="L18" s="192"/>
      <c r="N18" s="234"/>
      <c r="O18" s="192"/>
      <c r="Q18" s="234"/>
      <c r="R18" s="192"/>
      <c r="T18" s="234"/>
      <c r="U18" s="192"/>
      <c r="W18" s="234"/>
      <c r="X18" s="192"/>
      <c r="Z18" s="234"/>
      <c r="AA18" s="192"/>
      <c r="AC18" s="234"/>
      <c r="AD18" s="192"/>
      <c r="AF18" s="234"/>
      <c r="AG18" s="192"/>
      <c r="AI18" s="234"/>
      <c r="AJ18" s="192"/>
      <c r="AL18" s="234"/>
      <c r="AM18" s="192"/>
      <c r="AP18" s="220"/>
      <c r="AQ18" s="195"/>
      <c r="AS18" s="221"/>
      <c r="AT18" s="222"/>
      <c r="AX18" s="198" t="s">
        <v>152</v>
      </c>
      <c r="AY18" s="207">
        <v>550562</v>
      </c>
      <c r="AZ18" s="208">
        <f>+AY18/AY22</f>
        <v>8.5943236708942966E-2</v>
      </c>
    </row>
    <row r="19" spans="3:52" ht="18" thickTop="1" thickBot="1" x14ac:dyDescent="0.25">
      <c r="C19" s="201" t="s">
        <v>190</v>
      </c>
      <c r="E19" s="235">
        <f>' Total des coûts de MO'!E23</f>
        <v>10523</v>
      </c>
      <c r="F19" s="192">
        <f>E$19/E$14</f>
        <v>0.27471501873768933</v>
      </c>
      <c r="H19" s="235">
        <f>' Total des coûts de MO'!H23</f>
        <v>14924</v>
      </c>
      <c r="I19" s="192">
        <f>+H19/H14</f>
        <v>0.47927991115787011</v>
      </c>
      <c r="K19" s="235">
        <f>' Total des coûts de MO'!K23</f>
        <v>10500</v>
      </c>
      <c r="L19" s="192">
        <f>K$19/K$14</f>
        <v>0.27411457728268912</v>
      </c>
      <c r="N19" s="235">
        <f>' Total des coûts de MO'!N23</f>
        <v>10500</v>
      </c>
      <c r="O19" s="192">
        <f>N$19/N$14</f>
        <v>0.25750157259888978</v>
      </c>
      <c r="Q19" s="235">
        <f>' Total des coûts de MO'!Q23</f>
        <v>10500</v>
      </c>
      <c r="R19" s="192">
        <f>Q$19/Q$14</f>
        <v>0.22842881440224092</v>
      </c>
      <c r="T19" s="235">
        <f>' Total des coûts de MO'!T23</f>
        <v>10500</v>
      </c>
      <c r="U19" s="192">
        <f>T$19/T$14</f>
        <v>0.18883448657251917</v>
      </c>
      <c r="W19" s="235">
        <f>' Total des coûts de MO'!W23</f>
        <v>10500</v>
      </c>
      <c r="X19" s="192">
        <f>W$19/W$14</f>
        <v>0.13705728864134456</v>
      </c>
      <c r="Z19" s="235">
        <f>' Total des coûts de MO'!Z23</f>
        <v>10500</v>
      </c>
      <c r="AA19" s="192">
        <f>Z$19/Z$14</f>
        <v>0.15228587626816062</v>
      </c>
      <c r="AC19" s="235">
        <f>' Total des coûts de MO'!AC23</f>
        <v>10500</v>
      </c>
      <c r="AD19" s="192">
        <f>AC$19/AC$14</f>
        <v>0.23604310821564897</v>
      </c>
      <c r="AF19" s="235">
        <f>' Total des coûts de MO'!AF23</f>
        <v>10500</v>
      </c>
      <c r="AG19" s="192">
        <f>AF$19/AF$14</f>
        <v>0.24919507025699011</v>
      </c>
      <c r="AI19" s="235">
        <f>' Total des coûts de MO'!AI23</f>
        <v>10500</v>
      </c>
      <c r="AJ19" s="192">
        <f>AI$19/AI$14</f>
        <v>0.28325172985877878</v>
      </c>
      <c r="AL19" s="235">
        <f>' Total des coûts de MO'!AL23</f>
        <v>10500</v>
      </c>
      <c r="AM19" s="192">
        <f>AL$19/AL$14</f>
        <v>0.22842881440224092</v>
      </c>
      <c r="AP19" s="220">
        <f>+$AL19+$AI19+$AF19+$AC19+$Z19+$W19+$T19+$Q19+$N19+$K19+$H19+$E19</f>
        <v>130447</v>
      </c>
      <c r="AQ19" s="195">
        <f>AP$19/AP$14</f>
        <v>0.23075308917962914</v>
      </c>
      <c r="AS19" s="221">
        <f>+AS21/AV19</f>
        <v>140954.54808136236</v>
      </c>
      <c r="AT19" s="222">
        <f>+AS19/AS14</f>
        <v>0.28560069650962705</v>
      </c>
      <c r="AV19" s="594">
        <f>1+AV20</f>
        <v>1.2359913834737479</v>
      </c>
      <c r="AX19" s="198" t="s">
        <v>153</v>
      </c>
      <c r="AY19" s="207">
        <v>543350</v>
      </c>
      <c r="AZ19" s="208">
        <f>+AY19/AY22</f>
        <v>8.4817436847810346E-2</v>
      </c>
    </row>
    <row r="20" spans="3:52" ht="18" thickTop="1" thickBot="1" x14ac:dyDescent="0.25">
      <c r="C20" s="209" t="s">
        <v>191</v>
      </c>
      <c r="D20" s="236"/>
      <c r="E20" s="237">
        <f>' Total des coûts de MO'!E36</f>
        <v>2515.3119999999999</v>
      </c>
      <c r="F20" s="238">
        <f>E$20/E$14</f>
        <v>6.5665112915626225E-2</v>
      </c>
      <c r="G20" s="236"/>
      <c r="H20" s="237">
        <f>' Total des coûts de MO'!H36</f>
        <v>3149.056</v>
      </c>
      <c r="I20" s="238">
        <f>H$20/H$14</f>
        <v>0.10113101580750186</v>
      </c>
      <c r="J20" s="236"/>
      <c r="K20" s="237">
        <f>' Total des coûts de MO'!K36</f>
        <v>2512</v>
      </c>
      <c r="L20" s="238">
        <f>K$20/K$14</f>
        <v>6.5578649346106202E-2</v>
      </c>
      <c r="M20" s="236"/>
      <c r="N20" s="237">
        <f>' Total des coûts de MO'!N36</f>
        <v>2512</v>
      </c>
      <c r="O20" s="238">
        <f>N$20/N$14</f>
        <v>6.1604185749372486E-2</v>
      </c>
      <c r="P20" s="236"/>
      <c r="Q20" s="237">
        <f>' Total des coûts de MO'!Q36</f>
        <v>2512</v>
      </c>
      <c r="R20" s="238">
        <f>Q$20/Q$14</f>
        <v>5.4648874455088495E-2</v>
      </c>
      <c r="S20" s="236"/>
      <c r="T20" s="237">
        <f>' Total des coûts de MO'!T36</f>
        <v>2512</v>
      </c>
      <c r="U20" s="238">
        <f>T$20/T$14</f>
        <v>4.5176402882873154E-2</v>
      </c>
      <c r="V20" s="236"/>
      <c r="W20" s="237">
        <f>' Total des coûts de MO'!W36</f>
        <v>2512</v>
      </c>
      <c r="X20" s="238">
        <f>W$20/W$14</f>
        <v>3.2789324673053101E-2</v>
      </c>
      <c r="Y20" s="236"/>
      <c r="Z20" s="237">
        <f>' Total des coûts de MO'!Z36</f>
        <v>2512</v>
      </c>
      <c r="AA20" s="238">
        <f>Z$20/Z$14</f>
        <v>3.6432582970058996E-2</v>
      </c>
      <c r="AB20" s="236"/>
      <c r="AC20" s="237">
        <f>' Total des coûts de MO'!AC36</f>
        <v>2512</v>
      </c>
      <c r="AD20" s="238">
        <f>AC$20/AC$14</f>
        <v>5.6470503603591453E-2</v>
      </c>
      <c r="AE20" s="236"/>
      <c r="AF20" s="237">
        <f>' Total des coûts de MO'!AF36</f>
        <v>2512</v>
      </c>
      <c r="AG20" s="238">
        <f>AF$20/AF$14</f>
        <v>5.9616953951005636E-2</v>
      </c>
      <c r="AH20" s="236"/>
      <c r="AI20" s="237">
        <f>' Total des coûts de MO'!AI36</f>
        <v>2512</v>
      </c>
      <c r="AJ20" s="238">
        <f>AI$20/AI$14</f>
        <v>6.7764604324309738E-2</v>
      </c>
      <c r="AK20" s="236"/>
      <c r="AL20" s="237">
        <f>' Total des coûts de MO'!AL36</f>
        <v>2512</v>
      </c>
      <c r="AM20" s="238">
        <f>AL$20/AL$14</f>
        <v>5.4648874455088495E-2</v>
      </c>
      <c r="AN20" s="236"/>
      <c r="AO20" s="236"/>
      <c r="AP20" s="220">
        <f>+$AL20+$AI20+$AF20+$AC20+$Z20+$W20+$T20+$Q20+$N20+$K20+$H20+$E20</f>
        <v>30784.368000000002</v>
      </c>
      <c r="AQ20" s="239">
        <f>AP$20/AP$14</f>
        <v>5.4455740756341825E-2</v>
      </c>
      <c r="AS20" s="221">
        <f>+AV20*AS19</f>
        <v>33264.05880863763</v>
      </c>
      <c r="AT20" s="240">
        <f>+AS20/AS14</f>
        <v>6.7399303490372917E-2</v>
      </c>
      <c r="AV20" s="595">
        <f>' Total des coûts de MO'!AP41/' Total des coûts de MO'!AP23</f>
        <v>0.23599138347374798</v>
      </c>
      <c r="AX20" s="198" t="s">
        <v>154</v>
      </c>
      <c r="AY20" s="207">
        <v>502451</v>
      </c>
      <c r="AZ20" s="208">
        <f>+AY20/AY22</f>
        <v>7.8433065172760011E-2</v>
      </c>
    </row>
    <row r="21" spans="3:52" ht="17" thickBot="1" x14ac:dyDescent="0.25">
      <c r="C21" s="241" t="s">
        <v>155</v>
      </c>
      <c r="D21" s="242"/>
      <c r="E21" s="243">
        <f>+E19+E20</f>
        <v>13038.312</v>
      </c>
      <c r="F21" s="244">
        <f>E21/E14</f>
        <v>0.34038013165331554</v>
      </c>
      <c r="G21" s="242"/>
      <c r="H21" s="243">
        <f>+H19+H20</f>
        <v>18073.056</v>
      </c>
      <c r="I21" s="244">
        <f>H21/H14</f>
        <v>0.580410926965372</v>
      </c>
      <c r="J21" s="242"/>
      <c r="K21" s="243">
        <f>+K19+K20</f>
        <v>13012</v>
      </c>
      <c r="L21" s="244">
        <f>K21/K14</f>
        <v>0.33969322662879531</v>
      </c>
      <c r="M21" s="242"/>
      <c r="N21" s="243">
        <f>+N19+N20</f>
        <v>13012</v>
      </c>
      <c r="O21" s="244">
        <f>N21/N14</f>
        <v>0.31910575834826227</v>
      </c>
      <c r="P21" s="245"/>
      <c r="Q21" s="243">
        <f>+Q19+Q20</f>
        <v>13012</v>
      </c>
      <c r="R21" s="244">
        <f>Q21/Q14</f>
        <v>0.28307768885732942</v>
      </c>
      <c r="S21" s="242"/>
      <c r="T21" s="243">
        <f>+T19+T20</f>
        <v>13012</v>
      </c>
      <c r="U21" s="244">
        <f>T21/T14</f>
        <v>0.23401088945539231</v>
      </c>
      <c r="V21" s="242"/>
      <c r="W21" s="243">
        <f>+W19+W20</f>
        <v>13012</v>
      </c>
      <c r="X21" s="244">
        <f>W21/W14</f>
        <v>0.16984661331439765</v>
      </c>
      <c r="Y21" s="242"/>
      <c r="Z21" s="243">
        <f>+Z19+Z20</f>
        <v>13012</v>
      </c>
      <c r="AA21" s="244">
        <f>Z21/Z14</f>
        <v>0.18871845923821962</v>
      </c>
      <c r="AB21" s="242"/>
      <c r="AC21" s="243">
        <f>+AC19+AC20</f>
        <v>13012</v>
      </c>
      <c r="AD21" s="244">
        <f>AC21/AC14</f>
        <v>0.2925136118192404</v>
      </c>
      <c r="AE21" s="242"/>
      <c r="AF21" s="243">
        <f>+AF19+AF20</f>
        <v>13012</v>
      </c>
      <c r="AG21" s="244">
        <f>AF21/AF14</f>
        <v>0.30881202420799575</v>
      </c>
      <c r="AH21" s="242"/>
      <c r="AI21" s="243">
        <f>+AI19+AI20</f>
        <v>13012</v>
      </c>
      <c r="AJ21" s="244">
        <f>AI21/AI14</f>
        <v>0.35101633418308853</v>
      </c>
      <c r="AK21" s="242"/>
      <c r="AL21" s="243">
        <f>+AL19+AL20</f>
        <v>13012</v>
      </c>
      <c r="AM21" s="244">
        <f>AL21/AL14</f>
        <v>0.28307768885732942</v>
      </c>
      <c r="AN21" s="242"/>
      <c r="AO21" s="242"/>
      <c r="AP21" s="246">
        <f>+$AL21+$AI21+$AF21+$AC21+$Z21+$W21+$T21+$Q21+$N21+$K21+$H21+$E21</f>
        <v>161231.36800000002</v>
      </c>
      <c r="AQ21" s="247">
        <f>AP$21/AP$14</f>
        <v>0.28520882993597096</v>
      </c>
      <c r="AS21" s="248">
        <f>+AT21*AS14</f>
        <v>174218.60689</v>
      </c>
      <c r="AT21" s="231">
        <v>0.35299999999999998</v>
      </c>
      <c r="AV21" s="188"/>
      <c r="AX21" s="198" t="s">
        <v>156</v>
      </c>
      <c r="AY21" s="207">
        <v>566443</v>
      </c>
      <c r="AZ21" s="208">
        <f>+AY21/AY22</f>
        <v>8.842227547691954E-2</v>
      </c>
    </row>
    <row r="22" spans="3:52" ht="18" thickTop="1" thickBot="1" x14ac:dyDescent="0.25">
      <c r="C22" s="201"/>
      <c r="E22" s="219"/>
      <c r="F22" s="192"/>
      <c r="H22" s="219"/>
      <c r="I22" s="192"/>
      <c r="K22" s="219"/>
      <c r="L22" s="192"/>
      <c r="N22" s="219"/>
      <c r="O22" s="192"/>
      <c r="P22" s="193"/>
      <c r="Q22" s="219"/>
      <c r="R22" s="192"/>
      <c r="T22" s="219"/>
      <c r="U22" s="192"/>
      <c r="W22" s="219"/>
      <c r="X22" s="192"/>
      <c r="Z22" s="219"/>
      <c r="AA22" s="192"/>
      <c r="AC22" s="219"/>
      <c r="AD22" s="192"/>
      <c r="AF22" s="219"/>
      <c r="AG22" s="192"/>
      <c r="AI22" s="219"/>
      <c r="AJ22" s="192"/>
      <c r="AL22" s="219"/>
      <c r="AM22" s="192"/>
      <c r="AP22" s="220"/>
      <c r="AQ22" s="195"/>
      <c r="AS22" s="221"/>
      <c r="AT22" s="222"/>
      <c r="AX22" s="198" t="s">
        <v>10</v>
      </c>
      <c r="AY22" s="249">
        <f>+SUM(AY10:AY21)</f>
        <v>6406112</v>
      </c>
      <c r="AZ22" s="250">
        <f>+SUM(AZ10:AZ21)</f>
        <v>1.0000000000000002</v>
      </c>
    </row>
    <row r="23" spans="3:52" ht="18" thickTop="1" thickBot="1" x14ac:dyDescent="0.25">
      <c r="C23" s="241" t="s">
        <v>157</v>
      </c>
      <c r="D23" s="242"/>
      <c r="E23" s="243">
        <f>E16+E21</f>
        <v>24619.537519999998</v>
      </c>
      <c r="F23" s="244">
        <f>E$23/E$14</f>
        <v>0.64272134478000997</v>
      </c>
      <c r="G23" s="242"/>
      <c r="H23" s="243">
        <f>H16+H21</f>
        <v>27487.471583999999</v>
      </c>
      <c r="I23" s="244">
        <f>H$23/H$14</f>
        <v>0.88275214009206637</v>
      </c>
      <c r="J23" s="242"/>
      <c r="K23" s="243">
        <f>K16+K21</f>
        <v>24593.22552</v>
      </c>
      <c r="L23" s="244">
        <f>K$23/K$14</f>
        <v>0.64203443975548979</v>
      </c>
      <c r="M23" s="242"/>
      <c r="N23" s="243">
        <f>N16+N21</f>
        <v>25340.40136</v>
      </c>
      <c r="O23" s="244">
        <f>N$23/N$14</f>
        <v>0.62144697147495664</v>
      </c>
      <c r="P23" s="245"/>
      <c r="Q23" s="243">
        <f>Q16+Q21</f>
        <v>26909.470624000001</v>
      </c>
      <c r="R23" s="244">
        <f>Q$23/Q$14</f>
        <v>0.5854189019840238</v>
      </c>
      <c r="S23" s="242"/>
      <c r="T23" s="243">
        <f>T16+T21</f>
        <v>29823.456400000003</v>
      </c>
      <c r="U23" s="244">
        <f>T$23/T$14</f>
        <v>0.53635210258208676</v>
      </c>
      <c r="V23" s="242"/>
      <c r="W23" s="243">
        <f>W16+W21</f>
        <v>36174.45104</v>
      </c>
      <c r="X23" s="244">
        <f>W$23/W$14</f>
        <v>0.47218782644109208</v>
      </c>
      <c r="Y23" s="242"/>
      <c r="Z23" s="243">
        <f>Z16+Z21</f>
        <v>33858.205935999998</v>
      </c>
      <c r="AA23" s="244">
        <f>Z$23/Z$14</f>
        <v>0.49105967236491405</v>
      </c>
      <c r="AB23" s="242"/>
      <c r="AC23" s="243">
        <f>AC16+AC21</f>
        <v>26461.165119999998</v>
      </c>
      <c r="AD23" s="244">
        <f>AC$23/AC$14</f>
        <v>0.59485482494593478</v>
      </c>
      <c r="AE23" s="242"/>
      <c r="AF23" s="243">
        <f>AF16+AF21</f>
        <v>25751.348072000001</v>
      </c>
      <c r="AG23" s="244">
        <f>AF$23/AF$14</f>
        <v>0.61115323733469018</v>
      </c>
      <c r="AH23" s="242"/>
      <c r="AI23" s="243">
        <f>AI16+AI21</f>
        <v>24219.637600000002</v>
      </c>
      <c r="AJ23" s="244">
        <f>AI$23/AI$14</f>
        <v>0.65335754730978302</v>
      </c>
      <c r="AK23" s="242"/>
      <c r="AL23" s="243">
        <f>AL16+AL21</f>
        <v>26909.470624000001</v>
      </c>
      <c r="AM23" s="244">
        <f>AL$23/AL$14</f>
        <v>0.5854189019840238</v>
      </c>
      <c r="AN23" s="242"/>
      <c r="AO23" s="242"/>
      <c r="AP23" s="251">
        <f>+$AL23+$AI23+$AF23+$AC23+$Z23+$W23+$T23+$Q23+$N23+$K23+$H23+$E23</f>
        <v>332147.84139999998</v>
      </c>
      <c r="AQ23" s="247">
        <f>AP$23/AP$14</f>
        <v>0.58755004306266534</v>
      </c>
      <c r="AR23" s="252"/>
      <c r="AS23" s="253">
        <f>+AT23*AS14</f>
        <v>357814.41924999998</v>
      </c>
      <c r="AT23" s="254">
        <f>+AT16+AT21</f>
        <v>0.72499999999999998</v>
      </c>
      <c r="AX23" s="198" t="s">
        <v>158</v>
      </c>
      <c r="AY23" s="249">
        <f>+AY22/12</f>
        <v>533842.66666666663</v>
      </c>
      <c r="AZ23" s="250"/>
    </row>
    <row r="24" spans="3:52" ht="14" thickTop="1" x14ac:dyDescent="0.15">
      <c r="C24" s="201"/>
      <c r="E24" s="219"/>
      <c r="F24" s="192"/>
      <c r="H24" s="219"/>
      <c r="I24" s="192"/>
      <c r="K24" s="219"/>
      <c r="L24" s="192"/>
      <c r="N24" s="219"/>
      <c r="O24" s="192"/>
      <c r="P24" s="193"/>
      <c r="Q24" s="219"/>
      <c r="R24" s="192"/>
      <c r="T24" s="219"/>
      <c r="U24" s="192"/>
      <c r="W24" s="219"/>
      <c r="X24" s="192"/>
      <c r="Z24" s="219"/>
      <c r="AA24" s="192"/>
      <c r="AC24" s="219"/>
      <c r="AD24" s="192"/>
      <c r="AF24" s="219"/>
      <c r="AG24" s="192"/>
      <c r="AI24" s="219"/>
      <c r="AJ24" s="192"/>
      <c r="AL24" s="219"/>
      <c r="AM24" s="192"/>
      <c r="AP24" s="220"/>
      <c r="AQ24" s="195"/>
      <c r="AS24" s="221"/>
      <c r="AT24" s="222"/>
    </row>
    <row r="25" spans="3:52" x14ac:dyDescent="0.15">
      <c r="C25" s="255" t="s">
        <v>159</v>
      </c>
      <c r="D25" s="211"/>
      <c r="E25" s="256">
        <f>E14-E23</f>
        <v>13685.612480000003</v>
      </c>
      <c r="F25" s="212">
        <f>E$25/E$14</f>
        <v>0.35727865521999008</v>
      </c>
      <c r="G25" s="213"/>
      <c r="H25" s="256">
        <f>H14-H23</f>
        <v>3650.908416000002</v>
      </c>
      <c r="I25" s="212">
        <f>H$25/H$14</f>
        <v>0.11724785990793361</v>
      </c>
      <c r="J25" s="211"/>
      <c r="K25" s="256">
        <f>K14-K23</f>
        <v>13711.924480000001</v>
      </c>
      <c r="L25" s="212">
        <f>K$25/K$14</f>
        <v>0.35796556024451021</v>
      </c>
      <c r="M25" s="211"/>
      <c r="N25" s="256">
        <f>N14-N23</f>
        <v>15436.048640000005</v>
      </c>
      <c r="O25" s="212">
        <f>N$25/N$14</f>
        <v>0.3785530285250433</v>
      </c>
      <c r="P25" s="213"/>
      <c r="Q25" s="256">
        <f>Q14-Q23</f>
        <v>19056.709376000006</v>
      </c>
      <c r="R25" s="212">
        <f>Q$25/Q$14</f>
        <v>0.41458109801597615</v>
      </c>
      <c r="S25" s="211"/>
      <c r="T25" s="256">
        <f>T14-T23</f>
        <v>25780.793600000005</v>
      </c>
      <c r="U25" s="212">
        <f>T$25/T$14</f>
        <v>0.46364789741791324</v>
      </c>
      <c r="V25" s="214"/>
      <c r="W25" s="256">
        <f>W14-W23</f>
        <v>40435.848960000003</v>
      </c>
      <c r="X25" s="212">
        <f>W$25/W$14</f>
        <v>0.52781217355890786</v>
      </c>
      <c r="Y25" s="214"/>
      <c r="Z25" s="256">
        <f>Z14-Z23</f>
        <v>35091.064064000006</v>
      </c>
      <c r="AA25" s="212">
        <f>Z$25/Z$14</f>
        <v>0.50894032763508601</v>
      </c>
      <c r="AB25" s="214"/>
      <c r="AC25" s="256">
        <f>AC14-AC23</f>
        <v>18022.234880000004</v>
      </c>
      <c r="AD25" s="212">
        <f>AC$25/AC$14</f>
        <v>0.40514517505406517</v>
      </c>
      <c r="AE25" s="214"/>
      <c r="AF25" s="256">
        <f>AF14-AF23</f>
        <v>16384.316928</v>
      </c>
      <c r="AG25" s="212">
        <f>AF$25/AF$14</f>
        <v>0.38884676266530976</v>
      </c>
      <c r="AH25" s="214"/>
      <c r="AI25" s="256">
        <f>AI14-AI23</f>
        <v>12849.862399999998</v>
      </c>
      <c r="AJ25" s="212">
        <f>AI$25/AI$14</f>
        <v>0.34664245269021698</v>
      </c>
      <c r="AK25" s="214"/>
      <c r="AL25" s="256">
        <f>AL14-AL23</f>
        <v>19056.709376000006</v>
      </c>
      <c r="AM25" s="212">
        <f>AL$25/AL$14</f>
        <v>0.41458109801597615</v>
      </c>
      <c r="AN25" s="214"/>
      <c r="AO25" s="214"/>
      <c r="AP25" s="215">
        <f>+$AL25+$AI25+$AF25+$AC25+$Z25+$W25+$T25+$Q25+$N25+$K25+$H25+$E25</f>
        <v>233162.03360000005</v>
      </c>
      <c r="AQ25" s="212">
        <f>AP$25/AP$14</f>
        <v>0.41244995693733466</v>
      </c>
      <c r="AR25" s="214"/>
      <c r="AS25" s="216">
        <f>+AS14-AS23</f>
        <v>135722.71075000003</v>
      </c>
      <c r="AT25" s="217">
        <f>AS$25/AS$14</f>
        <v>0.27500000000000008</v>
      </c>
      <c r="AU25" s="211"/>
      <c r="AV25" s="211"/>
      <c r="AW25" s="211"/>
      <c r="AX25" s="211"/>
      <c r="AY25" s="211"/>
      <c r="AZ25" s="211"/>
    </row>
    <row r="26" spans="3:52" x14ac:dyDescent="0.15">
      <c r="C26" s="201"/>
      <c r="E26" s="219"/>
      <c r="F26" s="192"/>
      <c r="H26" s="219"/>
      <c r="I26" s="192"/>
      <c r="K26" s="219"/>
      <c r="L26" s="192"/>
      <c r="N26" s="219"/>
      <c r="O26" s="192"/>
      <c r="P26" s="193"/>
      <c r="Q26" s="219"/>
      <c r="R26" s="192"/>
      <c r="T26" s="219"/>
      <c r="U26" s="192"/>
      <c r="W26" s="219"/>
      <c r="X26" s="192"/>
      <c r="Z26" s="219"/>
      <c r="AA26" s="192"/>
      <c r="AC26" s="219"/>
      <c r="AD26" s="192"/>
      <c r="AF26" s="219"/>
      <c r="AG26" s="192"/>
      <c r="AI26" s="219"/>
      <c r="AJ26" s="192"/>
      <c r="AL26" s="219"/>
      <c r="AM26" s="192"/>
      <c r="AP26" s="220"/>
      <c r="AQ26" s="195"/>
      <c r="AS26" s="221"/>
      <c r="AT26" s="222"/>
    </row>
    <row r="27" spans="3:52" x14ac:dyDescent="0.15">
      <c r="C27" s="744" t="s">
        <v>180</v>
      </c>
      <c r="E27" s="257">
        <f>'Coût d''occupation '!E26</f>
        <v>1915.2575000000002</v>
      </c>
      <c r="F27" s="208">
        <f>E27/$E$14</f>
        <v>0.05</v>
      </c>
      <c r="G27" s="210"/>
      <c r="H27" s="257">
        <f>'Coût d''occupation '!H26</f>
        <v>1556.9190000000001</v>
      </c>
      <c r="I27" s="192">
        <f>+H27/H14</f>
        <v>0.05</v>
      </c>
      <c r="J27" s="258">
        <v>1</v>
      </c>
      <c r="K27" s="257">
        <f>'Coût d''occupation '!K26</f>
        <v>1915.2575000000002</v>
      </c>
      <c r="L27" s="192">
        <f>+K27/K14</f>
        <v>0.05</v>
      </c>
      <c r="N27" s="257">
        <f>'Coût d''occupation '!N26</f>
        <v>2038.8225000000002</v>
      </c>
      <c r="O27" s="192">
        <f>+N27/N14</f>
        <v>0.05</v>
      </c>
      <c r="P27" s="193"/>
      <c r="Q27" s="257">
        <f>'Coût d''occupation '!Q26</f>
        <v>2298.3090000000007</v>
      </c>
      <c r="R27" s="192">
        <f>+Q27/Q14</f>
        <v>0.05</v>
      </c>
      <c r="T27" s="257">
        <f>'Coût d''occupation '!T26</f>
        <v>2780.2125000000005</v>
      </c>
      <c r="U27" s="192">
        <f>+T27/T14</f>
        <v>0.05</v>
      </c>
      <c r="W27" s="257">
        <f>'Coût d''occupation '!W26</f>
        <v>3830.5150000000003</v>
      </c>
      <c r="X27" s="192">
        <f>+W27/W14</f>
        <v>0.05</v>
      </c>
      <c r="Z27" s="257">
        <f>'Coût d''occupation '!Z26</f>
        <v>3447.4635000000003</v>
      </c>
      <c r="AA27" s="192">
        <f>+Z27/Z14</f>
        <v>0.05</v>
      </c>
      <c r="AC27" s="257">
        <f>'Coût d''occupation '!AC26</f>
        <v>2224.17</v>
      </c>
      <c r="AD27" s="192">
        <f>+AC27/AC14</f>
        <v>0.05</v>
      </c>
      <c r="AF27" s="257">
        <f>'Coût d''occupation '!AF26</f>
        <v>2106.78325</v>
      </c>
      <c r="AG27" s="192">
        <f>+AF27/AF14</f>
        <v>4.9999999999999996E-2</v>
      </c>
      <c r="AI27" s="257">
        <f>'Coût d''occupation '!AI26</f>
        <v>1853.4750000000001</v>
      </c>
      <c r="AJ27" s="192">
        <f>+AI27/AI14</f>
        <v>0.05</v>
      </c>
      <c r="AL27" s="257">
        <f>'Coût d''occupation '!AL26</f>
        <v>2298.3090000000007</v>
      </c>
      <c r="AM27" s="192">
        <f>+AL27/AL14</f>
        <v>0.05</v>
      </c>
      <c r="AP27" s="220">
        <f t="shared" ref="AP27:AP34" si="1">+$AL27+$AI27+$AF27+$AC27+$Z27+$W27+$T27+$Q27+$N27+$K27+$H27+$E27</f>
        <v>28265.493750000001</v>
      </c>
      <c r="AQ27" s="195">
        <f>+AP27/AP14</f>
        <v>0.05</v>
      </c>
      <c r="AS27" s="221">
        <v>0</v>
      </c>
      <c r="AT27" s="222">
        <f>+AS27/AS14</f>
        <v>0</v>
      </c>
    </row>
    <row r="28" spans="3:52" x14ac:dyDescent="0.15">
      <c r="C28" s="745" t="s">
        <v>181</v>
      </c>
      <c r="D28" s="210"/>
      <c r="E28" s="257">
        <f>'Coût direct d''exploitation '!E34</f>
        <v>2000</v>
      </c>
      <c r="F28" s="208">
        <f>E$28/E$14</f>
        <v>5.221230043479793E-2</v>
      </c>
      <c r="G28" s="210"/>
      <c r="H28" s="257">
        <f>'Coût direct d''exploitation '!H34</f>
        <v>2000</v>
      </c>
      <c r="I28" s="208">
        <f>H$28/H$14</f>
        <v>6.4229417201537131E-2</v>
      </c>
      <c r="J28" s="260">
        <v>1</v>
      </c>
      <c r="K28" s="257">
        <f>'Coût direct d''exploitation '!K34</f>
        <v>2000</v>
      </c>
      <c r="L28" s="208">
        <f>K$28/K$14</f>
        <v>5.221230043479793E-2</v>
      </c>
      <c r="M28" s="210"/>
      <c r="N28" s="257">
        <f>'Coût direct d''exploitation '!N34</f>
        <v>2000</v>
      </c>
      <c r="O28" s="208">
        <f>N$28/N$14</f>
        <v>4.9047918590264722E-2</v>
      </c>
      <c r="P28" s="210"/>
      <c r="Q28" s="257">
        <f>'Coût direct d''exploitation '!Q34</f>
        <v>2000</v>
      </c>
      <c r="R28" s="208">
        <f>Q$28/Q$14</f>
        <v>4.3510250362331603E-2</v>
      </c>
      <c r="S28" s="210"/>
      <c r="T28" s="257">
        <f>'Coût direct d''exploitation '!T34</f>
        <v>2000</v>
      </c>
      <c r="U28" s="208">
        <f>T$28/T$14</f>
        <v>3.5968473632860792E-2</v>
      </c>
      <c r="V28" s="210"/>
      <c r="W28" s="257">
        <f>'Coût direct d''exploitation '!W34</f>
        <v>2000</v>
      </c>
      <c r="X28" s="208">
        <f>W$28/W$14</f>
        <v>2.6106150217398965E-2</v>
      </c>
      <c r="Y28" s="210"/>
      <c r="Z28" s="257">
        <f>'Coût direct d''exploitation '!Z34</f>
        <v>2000</v>
      </c>
      <c r="AA28" s="208">
        <f>Z$28/Z$14</f>
        <v>2.9006833574887737E-2</v>
      </c>
      <c r="AB28" s="210"/>
      <c r="AC28" s="257">
        <f>'Coût direct d''exploitation '!AC34</f>
        <v>2000</v>
      </c>
      <c r="AD28" s="208">
        <f>AC$28/AC$14</f>
        <v>4.4960592041075997E-2</v>
      </c>
      <c r="AE28" s="210"/>
      <c r="AF28" s="257">
        <f>'Coût direct d''exploitation '!AF34</f>
        <v>2000</v>
      </c>
      <c r="AG28" s="208">
        <f>AF$28/AF$14</f>
        <v>4.7465727667998121E-2</v>
      </c>
      <c r="AH28" s="210"/>
      <c r="AI28" s="257">
        <f>'Coût direct d''exploitation '!AI34</f>
        <v>2000</v>
      </c>
      <c r="AJ28" s="208">
        <f>AI$28/AI$14</f>
        <v>5.3952710449291195E-2</v>
      </c>
      <c r="AK28" s="210"/>
      <c r="AL28" s="257">
        <f>'Coût direct d''exploitation '!AL34</f>
        <v>2000</v>
      </c>
      <c r="AM28" s="208">
        <f>AL$28/AL$14</f>
        <v>4.3510250362331603E-2</v>
      </c>
      <c r="AN28" s="210"/>
      <c r="AO28" s="210"/>
      <c r="AP28" s="220">
        <f t="shared" si="1"/>
        <v>24000</v>
      </c>
      <c r="AQ28" s="195">
        <f>AP$28/AP$14</f>
        <v>4.245459182895045E-2</v>
      </c>
      <c r="AS28" s="221">
        <v>0</v>
      </c>
      <c r="AT28" s="222">
        <f>AS$28/AS$14</f>
        <v>0</v>
      </c>
    </row>
    <row r="29" spans="3:52" x14ac:dyDescent="0.15">
      <c r="C29" s="745" t="s">
        <v>182</v>
      </c>
      <c r="D29" s="210"/>
      <c r="E29" s="257">
        <f>'Musique &amp; Divertissement'!E24</f>
        <v>109</v>
      </c>
      <c r="F29" s="208">
        <f>E$29/E$14</f>
        <v>2.8455703736964873E-3</v>
      </c>
      <c r="G29" s="210"/>
      <c r="H29" s="257">
        <f>'Musique &amp; Divertissement'!H24</f>
        <v>109</v>
      </c>
      <c r="I29" s="208">
        <f>H$29/H$14</f>
        <v>3.5005032374837738E-3</v>
      </c>
      <c r="J29" s="260">
        <v>1</v>
      </c>
      <c r="K29" s="257">
        <f>'Musique &amp; Divertissement'!K24</f>
        <v>109</v>
      </c>
      <c r="L29" s="208">
        <f>K$29/K$14</f>
        <v>2.8455703736964873E-3</v>
      </c>
      <c r="M29" s="210"/>
      <c r="N29" s="257">
        <f>'Musique &amp; Divertissement'!N24</f>
        <v>109</v>
      </c>
      <c r="O29" s="208">
        <f>N$29/N$14</f>
        <v>2.673111563169427E-3</v>
      </c>
      <c r="P29" s="210"/>
      <c r="Q29" s="257">
        <f>'Musique &amp; Divertissement'!Q24</f>
        <v>109</v>
      </c>
      <c r="R29" s="208">
        <f>Q$29/Q$14</f>
        <v>2.3713086447470725E-3</v>
      </c>
      <c r="S29" s="210"/>
      <c r="T29" s="257">
        <f>'Musique &amp; Divertissement'!T24</f>
        <v>109</v>
      </c>
      <c r="U29" s="208">
        <f>T$29/T$14</f>
        <v>1.9602818129909132E-3</v>
      </c>
      <c r="V29" s="210"/>
      <c r="W29" s="257">
        <f>'Musique &amp; Divertissement'!W24</f>
        <v>109</v>
      </c>
      <c r="X29" s="208">
        <f>W$29/W$14</f>
        <v>1.4227851868482437E-3</v>
      </c>
      <c r="Y29" s="210"/>
      <c r="Z29" s="257">
        <f>'Musique &amp; Divertissement'!Z24</f>
        <v>109</v>
      </c>
      <c r="AA29" s="208">
        <f>Z$29/Z$14</f>
        <v>1.5808724298313817E-3</v>
      </c>
      <c r="AB29" s="210"/>
      <c r="AC29" s="257">
        <f>'Musique &amp; Divertissement'!AC24</f>
        <v>109</v>
      </c>
      <c r="AD29" s="208">
        <f>AC$29/AC$14</f>
        <v>2.4503522662386416E-3</v>
      </c>
      <c r="AE29" s="210"/>
      <c r="AF29" s="257">
        <f>'Musique &amp; Divertissement'!AF24</f>
        <v>109</v>
      </c>
      <c r="AG29" s="208">
        <f>AF$29/AF$14</f>
        <v>2.5868821579058975E-3</v>
      </c>
      <c r="AH29" s="210"/>
      <c r="AI29" s="257">
        <f>'Musique &amp; Divertissement'!AI24</f>
        <v>109</v>
      </c>
      <c r="AJ29" s="208">
        <f>AI$29/AI$14</f>
        <v>2.94042271948637E-3</v>
      </c>
      <c r="AK29" s="210"/>
      <c r="AL29" s="257">
        <f>'Musique &amp; Divertissement'!AL24</f>
        <v>109</v>
      </c>
      <c r="AM29" s="208">
        <f>AL$29/AL$14</f>
        <v>2.3713086447470725E-3</v>
      </c>
      <c r="AN29" s="210"/>
      <c r="AO29" s="210"/>
      <c r="AP29" s="220">
        <f t="shared" si="1"/>
        <v>1308</v>
      </c>
      <c r="AQ29" s="195">
        <f>AP$29/AP$14</f>
        <v>2.3137752546777994E-3</v>
      </c>
      <c r="AS29" s="221">
        <v>0</v>
      </c>
      <c r="AT29" s="222">
        <f>AS$29/AS$14</f>
        <v>0</v>
      </c>
    </row>
    <row r="30" spans="3:52" x14ac:dyDescent="0.15">
      <c r="C30" s="745" t="s">
        <v>183</v>
      </c>
      <c r="D30" s="210"/>
      <c r="E30" s="257">
        <f>'Mark &amp; Communication marketing'!E25</f>
        <v>1000</v>
      </c>
      <c r="F30" s="208">
        <f>E$30/E$14</f>
        <v>2.6106150217398965E-2</v>
      </c>
      <c r="G30" s="210"/>
      <c r="H30" s="257">
        <f>'Mark &amp; Communication marketing'!H25</f>
        <v>1000</v>
      </c>
      <c r="I30" s="208">
        <f>H$30/H$14</f>
        <v>3.2114708600768566E-2</v>
      </c>
      <c r="J30" s="260">
        <v>1</v>
      </c>
      <c r="K30" s="257">
        <f>'Mark &amp; Communication marketing'!K25</f>
        <v>1000</v>
      </c>
      <c r="L30" s="208">
        <f>K$30/K$14</f>
        <v>2.6106150217398965E-2</v>
      </c>
      <c r="M30" s="210"/>
      <c r="N30" s="257">
        <f>'Mark &amp; Communication marketing'!N25</f>
        <v>1000</v>
      </c>
      <c r="O30" s="208">
        <f>N$30/N$14</f>
        <v>2.4523959295132361E-2</v>
      </c>
      <c r="P30" s="210"/>
      <c r="Q30" s="257">
        <f>'Mark &amp; Communication marketing'!Q25</f>
        <v>1000</v>
      </c>
      <c r="R30" s="208">
        <f>Q$30/Q$14</f>
        <v>2.1755125181165801E-2</v>
      </c>
      <c r="S30" s="210"/>
      <c r="T30" s="257">
        <f>'Mark &amp; Communication marketing'!T25</f>
        <v>1000</v>
      </c>
      <c r="U30" s="208">
        <f>T$30/T$14</f>
        <v>1.7984236816430396E-2</v>
      </c>
      <c r="V30" s="210"/>
      <c r="W30" s="257">
        <f>'Mark &amp; Communication marketing'!W25</f>
        <v>1000</v>
      </c>
      <c r="X30" s="208">
        <f>W$30/W$14</f>
        <v>1.3053075108699482E-2</v>
      </c>
      <c r="Y30" s="210"/>
      <c r="Z30" s="257">
        <f>'Mark &amp; Communication marketing'!Z25</f>
        <v>1000</v>
      </c>
      <c r="AA30" s="208">
        <f>Z$30/Z$14</f>
        <v>1.4503416787443869E-2</v>
      </c>
      <c r="AB30" s="210"/>
      <c r="AC30" s="257">
        <f>'Mark &amp; Communication marketing'!AC25</f>
        <v>1000</v>
      </c>
      <c r="AD30" s="208">
        <f>AC$30/AC$14</f>
        <v>2.2480296020537999E-2</v>
      </c>
      <c r="AE30" s="210"/>
      <c r="AF30" s="257">
        <f>'Mark &amp; Communication marketing'!AF25</f>
        <v>1000</v>
      </c>
      <c r="AG30" s="208">
        <f>AF$30/AF$14</f>
        <v>2.3732863833999061E-2</v>
      </c>
      <c r="AH30" s="210"/>
      <c r="AI30" s="257">
        <f>'Mark &amp; Communication marketing'!AI25</f>
        <v>1000</v>
      </c>
      <c r="AJ30" s="208">
        <f>AI$30/AI$14</f>
        <v>2.6976355224645598E-2</v>
      </c>
      <c r="AK30" s="210"/>
      <c r="AL30" s="257">
        <f>'Mark &amp; Communication marketing'!AL25</f>
        <v>1000</v>
      </c>
      <c r="AM30" s="208">
        <f>AL$30/AL$14</f>
        <v>2.1755125181165801E-2</v>
      </c>
      <c r="AN30" s="210"/>
      <c r="AO30" s="210"/>
      <c r="AP30" s="220">
        <f t="shared" si="1"/>
        <v>12000</v>
      </c>
      <c r="AQ30" s="195">
        <f>AP$30/AP$14</f>
        <v>2.1227295914475225E-2</v>
      </c>
      <c r="AS30" s="221">
        <v>0</v>
      </c>
      <c r="AT30" s="222">
        <f>AS$30/AS$14</f>
        <v>0</v>
      </c>
    </row>
    <row r="31" spans="3:52" x14ac:dyDescent="0.15">
      <c r="C31" s="744" t="s">
        <v>184</v>
      </c>
      <c r="E31" s="261">
        <f>'Services publics'!E23</f>
        <v>1000</v>
      </c>
      <c r="F31" s="192">
        <f>E$31/E$14</f>
        <v>2.6106150217398965E-2</v>
      </c>
      <c r="H31" s="261">
        <f>'Services publics'!H23</f>
        <v>1000</v>
      </c>
      <c r="I31" s="192">
        <f>H$31/H$14</f>
        <v>3.2114708600768566E-2</v>
      </c>
      <c r="J31" s="258">
        <v>1</v>
      </c>
      <c r="K31" s="261">
        <f>'Services publics'!K23</f>
        <v>1000</v>
      </c>
      <c r="L31" s="192">
        <f>K$31/K$14</f>
        <v>2.6106150217398965E-2</v>
      </c>
      <c r="N31" s="261">
        <f>'Services publics'!N23</f>
        <v>1000</v>
      </c>
      <c r="O31" s="192">
        <f>N$31/N$14</f>
        <v>2.4523959295132361E-2</v>
      </c>
      <c r="P31" s="193"/>
      <c r="Q31" s="261">
        <f>'Services publics'!Q23</f>
        <v>1000</v>
      </c>
      <c r="R31" s="192">
        <f>Q$31/Q$14</f>
        <v>2.1755125181165801E-2</v>
      </c>
      <c r="T31" s="261">
        <f>'Services publics'!T23</f>
        <v>1000</v>
      </c>
      <c r="U31" s="192">
        <f>T$31/T$14</f>
        <v>1.7984236816430396E-2</v>
      </c>
      <c r="W31" s="261">
        <f>'Services publics'!W23</f>
        <v>1000</v>
      </c>
      <c r="X31" s="192">
        <f>W$31/W$14</f>
        <v>1.3053075108699482E-2</v>
      </c>
      <c r="Z31" s="261">
        <f>'Services publics'!Z23</f>
        <v>1000</v>
      </c>
      <c r="AA31" s="192">
        <f>Z$31/Z$14</f>
        <v>1.4503416787443869E-2</v>
      </c>
      <c r="AC31" s="261">
        <f>'Services publics'!AC23</f>
        <v>1000</v>
      </c>
      <c r="AD31" s="192">
        <f>AC$31/AC$14</f>
        <v>2.2480296020537999E-2</v>
      </c>
      <c r="AF31" s="261">
        <f>'Services publics'!AF23</f>
        <v>1000</v>
      </c>
      <c r="AG31" s="192">
        <f>AF$31/AF$14</f>
        <v>2.3732863833999061E-2</v>
      </c>
      <c r="AI31" s="261">
        <f>'Services publics'!AI23</f>
        <v>1000</v>
      </c>
      <c r="AJ31" s="192">
        <f>AI$31/AI$14</f>
        <v>2.6976355224645598E-2</v>
      </c>
      <c r="AL31" s="261">
        <f>'Services publics'!AL23</f>
        <v>1000</v>
      </c>
      <c r="AM31" s="192">
        <f>AL$31/AL$14</f>
        <v>2.1755125181165801E-2</v>
      </c>
      <c r="AO31" s="210"/>
      <c r="AP31" s="220">
        <f t="shared" si="1"/>
        <v>12000</v>
      </c>
      <c r="AQ31" s="195">
        <f>AP$31/AP$14</f>
        <v>2.1227295914475225E-2</v>
      </c>
      <c r="AS31" s="221">
        <v>0</v>
      </c>
      <c r="AT31" s="222">
        <f>AS$31/AS$14</f>
        <v>0</v>
      </c>
    </row>
    <row r="32" spans="3:52" x14ac:dyDescent="0.15">
      <c r="C32" s="744" t="s">
        <v>185</v>
      </c>
      <c r="E32" s="261">
        <f>'Administration &amp; Frais généraux'!E29</f>
        <v>1000</v>
      </c>
      <c r="F32" s="192">
        <f>E$32/E$14</f>
        <v>2.6106150217398965E-2</v>
      </c>
      <c r="H32" s="261">
        <f>'Administration &amp; Frais généraux'!H29</f>
        <v>1000</v>
      </c>
      <c r="I32" s="192">
        <f>H$32/H$14</f>
        <v>3.2114708600768566E-2</v>
      </c>
      <c r="J32" s="258">
        <v>1</v>
      </c>
      <c r="K32" s="261">
        <f>'Administration &amp; Frais généraux'!K29</f>
        <v>1000</v>
      </c>
      <c r="L32" s="192">
        <f>K$32/K$14</f>
        <v>2.6106150217398965E-2</v>
      </c>
      <c r="N32" s="261">
        <f>'Administration &amp; Frais généraux'!N29</f>
        <v>1000</v>
      </c>
      <c r="O32" s="192">
        <f>N$32/N$14</f>
        <v>2.4523959295132361E-2</v>
      </c>
      <c r="P32" s="193"/>
      <c r="Q32" s="261">
        <f>'Administration &amp; Frais généraux'!Q29</f>
        <v>1014</v>
      </c>
      <c r="R32" s="192">
        <f>Q$32/Q$14</f>
        <v>2.2059696933702123E-2</v>
      </c>
      <c r="T32" s="261">
        <f>'Administration &amp; Frais généraux'!T29</f>
        <v>1014</v>
      </c>
      <c r="U32" s="192">
        <f>T$32/T$14</f>
        <v>1.8236016131860423E-2</v>
      </c>
      <c r="W32" s="261">
        <f>'Administration &amp; Frais généraux'!W29</f>
        <v>1014</v>
      </c>
      <c r="X32" s="192">
        <f>W$32/W$14</f>
        <v>1.3235818160221275E-2</v>
      </c>
      <c r="Z32" s="261">
        <f>'Administration &amp; Frais généraux'!Z29</f>
        <v>1014</v>
      </c>
      <c r="AA32" s="192">
        <f>Z$32/Z$14</f>
        <v>1.4706464622468083E-2</v>
      </c>
      <c r="AC32" s="261">
        <f>'Administration &amp; Frais généraux'!AC29</f>
        <v>1014</v>
      </c>
      <c r="AD32" s="192">
        <f>AC$32/AC$14</f>
        <v>2.2795020164825531E-2</v>
      </c>
      <c r="AF32" s="261">
        <f>'Administration &amp; Frais généraux'!AF29</f>
        <v>1014</v>
      </c>
      <c r="AG32" s="192">
        <f>AF$32/AF$14</f>
        <v>2.4065123927675045E-2</v>
      </c>
      <c r="AI32" s="261">
        <f>'Administration &amp; Frais généraux'!AI29</f>
        <v>1014</v>
      </c>
      <c r="AJ32" s="192">
        <f>AI$32/AI$14</f>
        <v>2.7354024197790636E-2</v>
      </c>
      <c r="AL32" s="261">
        <f>'Administration &amp; Frais généraux'!AL29</f>
        <v>1014</v>
      </c>
      <c r="AM32" s="192">
        <f>AL$32/AL$14</f>
        <v>2.2059696933702123E-2</v>
      </c>
      <c r="AP32" s="220">
        <f t="shared" si="1"/>
        <v>12112</v>
      </c>
      <c r="AQ32" s="195">
        <f>AP$32/AP$14</f>
        <v>2.1425417343010327E-2</v>
      </c>
      <c r="AS32" s="221">
        <v>0</v>
      </c>
      <c r="AT32" s="222">
        <f>AS$32/AS$14</f>
        <v>0</v>
      </c>
    </row>
    <row r="33" spans="3:52" x14ac:dyDescent="0.15">
      <c r="C33" s="744" t="s">
        <v>186</v>
      </c>
      <c r="E33" s="261">
        <f>'Entretien &amp; Réparation'!E31</f>
        <v>1000</v>
      </c>
      <c r="F33" s="192">
        <f>E$33/E$14</f>
        <v>2.6106150217398965E-2</v>
      </c>
      <c r="H33" s="261">
        <f>'Entretien &amp; Réparation'!H31</f>
        <v>1000</v>
      </c>
      <c r="I33" s="192">
        <f>H$33/H$14</f>
        <v>3.2114708600768566E-2</v>
      </c>
      <c r="J33" s="258">
        <v>1</v>
      </c>
      <c r="K33" s="261">
        <f>'Entretien &amp; Réparation'!K31</f>
        <v>1000</v>
      </c>
      <c r="L33" s="192">
        <f>K$33/K$14</f>
        <v>2.6106150217398965E-2</v>
      </c>
      <c r="N33" s="261">
        <f>'Entretien &amp; Réparation'!N31</f>
        <v>1000</v>
      </c>
      <c r="O33" s="192">
        <f>N$33/N$14</f>
        <v>2.4523959295132361E-2</v>
      </c>
      <c r="P33" s="193"/>
      <c r="Q33" s="261">
        <f>'Entretien &amp; Réparation'!Q31</f>
        <v>1000</v>
      </c>
      <c r="R33" s="192">
        <f>Q$33/Q$14</f>
        <v>2.1755125181165801E-2</v>
      </c>
      <c r="T33" s="261">
        <f>'Entretien &amp; Réparation'!T31</f>
        <v>1000</v>
      </c>
      <c r="U33" s="192">
        <f>T$33/T$14</f>
        <v>1.7984236816430396E-2</v>
      </c>
      <c r="W33" s="261">
        <f>'Entretien &amp; Réparation'!W31</f>
        <v>1000</v>
      </c>
      <c r="X33" s="192">
        <f>W$33/W$14</f>
        <v>1.3053075108699482E-2</v>
      </c>
      <c r="Z33" s="261">
        <f>'Entretien &amp; Réparation'!Z31</f>
        <v>1000</v>
      </c>
      <c r="AA33" s="192">
        <f>Z$33/Z$14</f>
        <v>1.4503416787443869E-2</v>
      </c>
      <c r="AC33" s="261">
        <f>'Entretien &amp; Réparation'!AC31</f>
        <v>1000</v>
      </c>
      <c r="AD33" s="192">
        <f>AC$33/AC$14</f>
        <v>2.2480296020537999E-2</v>
      </c>
      <c r="AF33" s="261">
        <f>'Entretien &amp; Réparation'!AF31</f>
        <v>1000</v>
      </c>
      <c r="AG33" s="192">
        <f>AF$33/AF$14</f>
        <v>2.3732863833999061E-2</v>
      </c>
      <c r="AI33" s="261">
        <f>'Entretien &amp; Réparation'!AI31</f>
        <v>1000</v>
      </c>
      <c r="AJ33" s="192">
        <f>AI$33/AI$14</f>
        <v>2.6976355224645598E-2</v>
      </c>
      <c r="AL33" s="261">
        <f>'Entretien &amp; Réparation'!AL31</f>
        <v>1000</v>
      </c>
      <c r="AM33" s="192">
        <f>AL$33/AL$14</f>
        <v>2.1755125181165801E-2</v>
      </c>
      <c r="AP33" s="220">
        <f t="shared" si="1"/>
        <v>12000</v>
      </c>
      <c r="AQ33" s="195">
        <f>AP$33/AP$14</f>
        <v>2.1227295914475225E-2</v>
      </c>
      <c r="AS33" s="221">
        <v>0</v>
      </c>
      <c r="AT33" s="222">
        <f>AS$33/AS$14</f>
        <v>0</v>
      </c>
    </row>
    <row r="34" spans="3:52" x14ac:dyDescent="0.15">
      <c r="C34" s="241" t="s">
        <v>176</v>
      </c>
      <c r="D34" s="262"/>
      <c r="E34" s="243">
        <f>+(SUM(E27:E33))</f>
        <v>8024.2574999999997</v>
      </c>
      <c r="F34" s="263">
        <f>E34/E14</f>
        <v>0.20948247167809025</v>
      </c>
      <c r="G34" s="264" t="s">
        <v>2</v>
      </c>
      <c r="H34" s="243">
        <f>+(SUM(H27:H33))</f>
        <v>7665.9189999999999</v>
      </c>
      <c r="I34" s="265">
        <f>H34/H14</f>
        <v>0.24618875484209518</v>
      </c>
      <c r="J34" s="266">
        <f>SUM(J27:J33)</f>
        <v>7</v>
      </c>
      <c r="K34" s="243">
        <f>+(SUM(K27:K33))</f>
        <v>8024.2574999999997</v>
      </c>
      <c r="L34" s="263">
        <f>K34/K14</f>
        <v>0.20948247167809025</v>
      </c>
      <c r="M34" s="266">
        <f>SUM(M27:M33)</f>
        <v>0</v>
      </c>
      <c r="N34" s="243">
        <f>+(SUM(N27:N33))</f>
        <v>8147.8225000000002</v>
      </c>
      <c r="O34" s="263">
        <f>N34/N14</f>
        <v>0.19981686733396359</v>
      </c>
      <c r="P34" s="267"/>
      <c r="Q34" s="243">
        <f>+(SUM(Q27:Q33))</f>
        <v>8421.3090000000011</v>
      </c>
      <c r="R34" s="263">
        <f>Q34/Q14</f>
        <v>0.18320663148427821</v>
      </c>
      <c r="S34" s="262"/>
      <c r="T34" s="243">
        <f>+(SUM(T27:T33))</f>
        <v>8903.2125000000015</v>
      </c>
      <c r="U34" s="263">
        <f>T34/T14</f>
        <v>0.16011748202700335</v>
      </c>
      <c r="V34" s="262"/>
      <c r="W34" s="243">
        <f>+(SUM(W27:W33))</f>
        <v>9953.5149999999994</v>
      </c>
      <c r="X34" s="263">
        <f>W34/W14</f>
        <v>0.12992397889056692</v>
      </c>
      <c r="Y34" s="262"/>
      <c r="Z34" s="243">
        <f>+(SUM(Z27:Z33))</f>
        <v>9570.4634999999998</v>
      </c>
      <c r="AA34" s="263">
        <f>Z34/Z14</f>
        <v>0.13880442098951881</v>
      </c>
      <c r="AB34" s="262"/>
      <c r="AC34" s="243">
        <f>+(SUM(AC27:AC33))</f>
        <v>8347.17</v>
      </c>
      <c r="AD34" s="263">
        <f>AC34/AC14</f>
        <v>0.18764685253375415</v>
      </c>
      <c r="AE34" s="262"/>
      <c r="AF34" s="243">
        <f>+(SUM(AF27:AF33))</f>
        <v>8229.7832500000004</v>
      </c>
      <c r="AG34" s="263">
        <f>AF34/AF14</f>
        <v>0.19531632525557624</v>
      </c>
      <c r="AH34" s="262"/>
      <c r="AI34" s="243">
        <f>+(SUM(AI27:AI33))</f>
        <v>7976.4750000000004</v>
      </c>
      <c r="AJ34" s="263">
        <f>AI34/AI14</f>
        <v>0.21517622304050502</v>
      </c>
      <c r="AK34" s="262"/>
      <c r="AL34" s="243">
        <f>+(SUM(AL27:AL33))</f>
        <v>8421.3090000000011</v>
      </c>
      <c r="AM34" s="263">
        <f>AL34/AL14</f>
        <v>0.18320663148427821</v>
      </c>
      <c r="AN34" s="262"/>
      <c r="AO34" s="262"/>
      <c r="AP34" s="251">
        <f t="shared" si="1"/>
        <v>101685.49374999999</v>
      </c>
      <c r="AQ34" s="268">
        <f>AP34/AP14</f>
        <v>0.17987567217006423</v>
      </c>
      <c r="AS34" s="253">
        <f>+AT34*AV14</f>
        <v>98707.426000000007</v>
      </c>
      <c r="AT34" s="269">
        <v>0.2</v>
      </c>
    </row>
    <row r="35" spans="3:52" x14ac:dyDescent="0.15">
      <c r="C35" s="201"/>
      <c r="E35" s="219"/>
      <c r="F35" s="192"/>
      <c r="H35" s="219"/>
      <c r="I35" s="192"/>
      <c r="K35" s="219"/>
      <c r="L35" s="192"/>
      <c r="N35" s="219"/>
      <c r="O35" s="192"/>
      <c r="P35" s="193"/>
      <c r="Q35" s="219"/>
      <c r="R35" s="192"/>
      <c r="T35" s="219"/>
      <c r="U35" s="192"/>
      <c r="W35" s="219"/>
      <c r="X35" s="192"/>
      <c r="Z35" s="219"/>
      <c r="AA35" s="192"/>
      <c r="AC35" s="219"/>
      <c r="AD35" s="192"/>
      <c r="AF35" s="219"/>
      <c r="AG35" s="192"/>
      <c r="AI35" s="219"/>
      <c r="AJ35" s="192"/>
      <c r="AL35" s="219"/>
      <c r="AM35" s="192"/>
      <c r="AP35" s="220"/>
      <c r="AQ35" s="195"/>
      <c r="AS35" s="221"/>
      <c r="AT35" s="222"/>
    </row>
    <row r="36" spans="3:52" x14ac:dyDescent="0.15">
      <c r="C36" s="255" t="s">
        <v>160</v>
      </c>
      <c r="D36" s="211"/>
      <c r="E36" s="256">
        <f>E25-E34</f>
        <v>5661.3549800000037</v>
      </c>
      <c r="F36" s="212">
        <f>E$36/E$14</f>
        <v>0.1477961835418998</v>
      </c>
      <c r="G36" s="211"/>
      <c r="H36" s="256">
        <f>H25-H34</f>
        <v>-4015.0105839999978</v>
      </c>
      <c r="I36" s="212">
        <f>H$36/H$14</f>
        <v>-0.12894089493416155</v>
      </c>
      <c r="J36" s="211"/>
      <c r="K36" s="256">
        <f>K25-K34</f>
        <v>5687.6669800000018</v>
      </c>
      <c r="L36" s="212">
        <f>K$36/K$14</f>
        <v>0.14848308856641995</v>
      </c>
      <c r="M36" s="211"/>
      <c r="N36" s="256">
        <f>N25-N34</f>
        <v>7288.2261400000043</v>
      </c>
      <c r="O36" s="212">
        <f>N$36/N$14</f>
        <v>0.17873616119107974</v>
      </c>
      <c r="P36" s="213"/>
      <c r="Q36" s="256">
        <f>Q25-Q34</f>
        <v>10635.400376000005</v>
      </c>
      <c r="R36" s="212">
        <f>Q$36/Q$14</f>
        <v>0.23137446653169794</v>
      </c>
      <c r="S36" s="211"/>
      <c r="T36" s="256">
        <f>T25-T34</f>
        <v>16877.581100000003</v>
      </c>
      <c r="U36" s="212">
        <f>T$36/T$14</f>
        <v>0.30353041539090986</v>
      </c>
      <c r="V36" s="214"/>
      <c r="W36" s="256">
        <f>W25-W34</f>
        <v>30482.333960000004</v>
      </c>
      <c r="X36" s="212">
        <f>W$36/W$14</f>
        <v>0.39788819466834097</v>
      </c>
      <c r="Y36" s="214"/>
      <c r="Z36" s="256">
        <f>Z25-Z34</f>
        <v>25520.600564000008</v>
      </c>
      <c r="AA36" s="212">
        <f>Z$36/Z$14</f>
        <v>0.37013590664556717</v>
      </c>
      <c r="AB36" s="214"/>
      <c r="AC36" s="256">
        <f>AC25-AC34</f>
        <v>9675.0648800000035</v>
      </c>
      <c r="AD36" s="212">
        <f>AC$36/AC$14</f>
        <v>0.21749832252031101</v>
      </c>
      <c r="AE36" s="214"/>
      <c r="AF36" s="256">
        <f>AF25-AF34</f>
        <v>8154.5336779999998</v>
      </c>
      <c r="AG36" s="212">
        <f>AF$36/AF$14</f>
        <v>0.19353043740973352</v>
      </c>
      <c r="AH36" s="214"/>
      <c r="AI36" s="256">
        <f>AI25-AI34</f>
        <v>4873.3873999999978</v>
      </c>
      <c r="AJ36" s="212">
        <f>AI$36/AI$14</f>
        <v>0.13146622964971197</v>
      </c>
      <c r="AK36" s="214"/>
      <c r="AL36" s="256">
        <f>AL25-AL34</f>
        <v>10635.400376000005</v>
      </c>
      <c r="AM36" s="212">
        <f>AL$36/AL$14</f>
        <v>0.23137446653169794</v>
      </c>
      <c r="AN36" s="214"/>
      <c r="AO36" s="214"/>
      <c r="AP36" s="256">
        <f>+$AL36+$AI36+$AF36+$AC36+$Z36+$W36+$T36+$Q36+$N36+$K36+$H36+$E36</f>
        <v>131476.53985000003</v>
      </c>
      <c r="AQ36" s="212">
        <f>AP$36/AP$14</f>
        <v>0.23257428476727041</v>
      </c>
      <c r="AR36" s="214"/>
      <c r="AS36" s="216">
        <f>+AS25-AS34</f>
        <v>37015.284750000021</v>
      </c>
      <c r="AT36" s="217">
        <f>AS$36/AS$14</f>
        <v>7.5000000000000039E-2</v>
      </c>
      <c r="AU36" s="211"/>
      <c r="AV36" s="211"/>
      <c r="AW36" s="211"/>
      <c r="AX36" s="211"/>
      <c r="AY36" s="211"/>
      <c r="AZ36" s="211"/>
    </row>
    <row r="37" spans="3:52" x14ac:dyDescent="0.15">
      <c r="C37" s="201"/>
      <c r="E37" s="219"/>
      <c r="F37" s="192"/>
      <c r="H37" s="219"/>
      <c r="I37" s="192"/>
      <c r="K37" s="219"/>
      <c r="L37" s="192"/>
      <c r="N37" s="219"/>
      <c r="O37" s="192"/>
      <c r="P37" s="193"/>
      <c r="Q37" s="219"/>
      <c r="R37" s="192"/>
      <c r="T37" s="219"/>
      <c r="U37" s="192"/>
      <c r="W37" s="219"/>
      <c r="X37" s="192"/>
      <c r="Z37" s="219"/>
      <c r="AA37" s="192"/>
      <c r="AC37" s="219"/>
      <c r="AD37" s="192"/>
      <c r="AF37" s="219"/>
      <c r="AG37" s="192"/>
      <c r="AI37" s="219"/>
      <c r="AJ37" s="192"/>
      <c r="AL37" s="219"/>
      <c r="AM37" s="192"/>
      <c r="AP37" s="220"/>
      <c r="AQ37" s="195"/>
      <c r="AS37" s="221"/>
      <c r="AT37" s="222"/>
    </row>
    <row r="38" spans="3:52" x14ac:dyDescent="0.15">
      <c r="C38" s="744" t="s">
        <v>187</v>
      </c>
      <c r="E38" s="261">
        <f>'Frais financier'!E24</f>
        <v>0</v>
      </c>
      <c r="F38" s="192">
        <f>E$38/E$14</f>
        <v>0</v>
      </c>
      <c r="H38" s="261">
        <f>'Frais financier'!H24</f>
        <v>0</v>
      </c>
      <c r="I38" s="192">
        <f>H$38/H$14</f>
        <v>0</v>
      </c>
      <c r="K38" s="261">
        <f>'Frais financier'!K24</f>
        <v>0</v>
      </c>
      <c r="L38" s="192">
        <f>K$38/K$14</f>
        <v>0</v>
      </c>
      <c r="N38" s="261">
        <f>'Frais financier'!N24</f>
        <v>0</v>
      </c>
      <c r="O38" s="192">
        <f>N$38/N$14</f>
        <v>0</v>
      </c>
      <c r="P38" s="193"/>
      <c r="Q38" s="261">
        <f>'Frais financier'!Q24</f>
        <v>0</v>
      </c>
      <c r="R38" s="192">
        <f>Q$38/Q$14</f>
        <v>0</v>
      </c>
      <c r="T38" s="261">
        <f>'Frais financier'!T24</f>
        <v>0</v>
      </c>
      <c r="U38" s="192">
        <f>T$38/T$14</f>
        <v>0</v>
      </c>
      <c r="W38" s="261">
        <f>'Frais financier'!W24</f>
        <v>0</v>
      </c>
      <c r="X38" s="192">
        <f>W$38/W$14</f>
        <v>0</v>
      </c>
      <c r="Z38" s="261">
        <f>'Frais financier'!Z24</f>
        <v>0</v>
      </c>
      <c r="AA38" s="192">
        <f>Z$38/Z$14</f>
        <v>0</v>
      </c>
      <c r="AC38" s="261">
        <f>'Frais financier'!AC24</f>
        <v>0</v>
      </c>
      <c r="AD38" s="192">
        <f>AC$38/AC$14</f>
        <v>0</v>
      </c>
      <c r="AF38" s="261">
        <f>'Frais financier'!AF24</f>
        <v>0</v>
      </c>
      <c r="AG38" s="192">
        <f>AF$38/AF$14</f>
        <v>0</v>
      </c>
      <c r="AI38" s="261">
        <f>+AI7*AS38</f>
        <v>647.26180983606559</v>
      </c>
      <c r="AJ38" s="192">
        <f>AI$38/AI$14</f>
        <v>1.7460764505484713E-2</v>
      </c>
      <c r="AL38" s="261">
        <f>'Frais financier'!AL24</f>
        <v>0</v>
      </c>
      <c r="AM38" s="192">
        <f>AL$38/AL$14</f>
        <v>0</v>
      </c>
      <c r="AP38" s="220">
        <f>+$AL38+$AI38+$AF38+$AC38+$Z38+$W38+$T38+$Q38+$N38+$K38+$H38+$E38</f>
        <v>647.26180983606559</v>
      </c>
      <c r="AQ38" s="195">
        <f>AP$38/AP$14</f>
        <v>1.1449681642940795E-3</v>
      </c>
      <c r="AS38" s="270">
        <f>+AT38*AV14</f>
        <v>9870.7425999999996</v>
      </c>
      <c r="AT38" s="206">
        <v>0.02</v>
      </c>
    </row>
    <row r="39" spans="3:52" x14ac:dyDescent="0.15">
      <c r="C39" s="744" t="s">
        <v>188</v>
      </c>
      <c r="E39" s="261">
        <f>+E7*AS39</f>
        <v>969.81394507103846</v>
      </c>
      <c r="F39" s="192">
        <f>E39/E$14</f>
        <v>2.5318108532952837E-2</v>
      </c>
      <c r="H39" s="261">
        <f>+H7*AS39</f>
        <v>788.36488438032802</v>
      </c>
      <c r="I39" s="192">
        <f>H39/H$14</f>
        <v>2.5318108532952837E-2</v>
      </c>
      <c r="J39" s="258">
        <v>1</v>
      </c>
      <c r="K39" s="261">
        <f>+K7*AS39</f>
        <v>969.81394507103846</v>
      </c>
      <c r="L39" s="192">
        <f>K39/K$14</f>
        <v>2.5318108532952837E-2</v>
      </c>
      <c r="N39" s="261">
        <f>+N7*AS39</f>
        <v>1032.3825866885247</v>
      </c>
      <c r="O39" s="192">
        <f>N39/N$14</f>
        <v>2.5318108532952834E-2</v>
      </c>
      <c r="P39" s="193"/>
      <c r="Q39" s="261">
        <f>+Q7*AS39</f>
        <v>1163.7767340852461</v>
      </c>
      <c r="R39" s="192">
        <f>Q39/Q$14</f>
        <v>2.5318108532952834E-2</v>
      </c>
      <c r="T39" s="261">
        <f>+T7*AS39</f>
        <v>1407.794436393443</v>
      </c>
      <c r="U39" s="192">
        <f>T39/T$14</f>
        <v>2.5318108532952837E-2</v>
      </c>
      <c r="W39" s="261">
        <f>+W7*AS39</f>
        <v>1939.6278901420769</v>
      </c>
      <c r="X39" s="192">
        <f>W39/W$14</f>
        <v>2.5318108532952837E-2</v>
      </c>
      <c r="Z39" s="261">
        <f>+Z7*AS39</f>
        <v>1745.6651011278691</v>
      </c>
      <c r="AA39" s="192">
        <f>Z39/Z$14</f>
        <v>2.5318108532952837E-2</v>
      </c>
      <c r="AC39" s="261">
        <f>+AC7*AS39</f>
        <v>1126.2355491147543</v>
      </c>
      <c r="AD39" s="192">
        <f>AC39/AC$14</f>
        <v>2.531810853295284E-2</v>
      </c>
      <c r="AF39" s="261">
        <f>+AF7*AS39</f>
        <v>1066.7953395781421</v>
      </c>
      <c r="AG39" s="192">
        <f>AF39/AF$14</f>
        <v>2.5318108532952834E-2</v>
      </c>
      <c r="AI39" s="261">
        <f>+AI7*AS39</f>
        <v>938.52962426229521</v>
      </c>
      <c r="AJ39" s="192">
        <f>AI39/AI$14</f>
        <v>2.5318108532952837E-2</v>
      </c>
      <c r="AL39" s="261">
        <f>+AL7*AS39</f>
        <v>1163.7767340852461</v>
      </c>
      <c r="AM39" s="192">
        <f>AL39/AL$14</f>
        <v>2.5318108532952834E-2</v>
      </c>
      <c r="AP39" s="220">
        <f t="shared" ref="AP39" si="2">+$AL39+$AI39+$AF39+$AC39+$Z39+$W39+$T39+$Q39+$N39+$K39+$H39+$E39</f>
        <v>14312.576770000003</v>
      </c>
      <c r="AQ39" s="195">
        <f>AP39/AP$14</f>
        <v>2.531810853295284E-2</v>
      </c>
      <c r="AS39" s="270">
        <f>+AT39*AV14</f>
        <v>14312.576770000001</v>
      </c>
      <c r="AT39" s="206">
        <v>2.9000000000000001E-2</v>
      </c>
    </row>
    <row r="40" spans="3:52" x14ac:dyDescent="0.15">
      <c r="C40" s="201"/>
      <c r="E40" s="219"/>
      <c r="F40" s="192"/>
      <c r="H40" s="219"/>
      <c r="I40" s="192"/>
      <c r="K40" s="219"/>
      <c r="L40" s="192"/>
      <c r="N40" s="219"/>
      <c r="O40" s="192"/>
      <c r="P40" s="193"/>
      <c r="Q40" s="219"/>
      <c r="R40" s="192"/>
      <c r="T40" s="219"/>
      <c r="U40" s="192"/>
      <c r="W40" s="219"/>
      <c r="X40" s="192"/>
      <c r="Z40" s="219"/>
      <c r="AA40" s="192"/>
      <c r="AC40" s="219"/>
      <c r="AD40" s="192"/>
      <c r="AF40" s="219"/>
      <c r="AG40" s="192"/>
      <c r="AI40" s="219"/>
      <c r="AJ40" s="192"/>
      <c r="AL40" s="219"/>
      <c r="AM40" s="192"/>
      <c r="AP40" s="220"/>
      <c r="AQ40" s="195"/>
      <c r="AS40" s="221"/>
      <c r="AT40" s="222"/>
    </row>
    <row r="41" spans="3:52" x14ac:dyDescent="0.15">
      <c r="C41" s="255" t="s">
        <v>161</v>
      </c>
      <c r="D41" s="271"/>
      <c r="E41" s="256">
        <f>E36-(E38+E39)</f>
        <v>4691.541034928965</v>
      </c>
      <c r="F41" s="212">
        <f>E$41/E$14</f>
        <v>0.12247807500894696</v>
      </c>
      <c r="G41" s="213"/>
      <c r="H41" s="256">
        <f>H36-(H38+H39)</f>
        <v>-4803.3754683803254</v>
      </c>
      <c r="I41" s="212">
        <f>H$41/H$14</f>
        <v>-0.15425900346711438</v>
      </c>
      <c r="J41" s="211"/>
      <c r="K41" s="256">
        <f>K36-(K38+K39)</f>
        <v>4717.8530349289631</v>
      </c>
      <c r="L41" s="212">
        <f>K$41/K$14</f>
        <v>0.12316498003346711</v>
      </c>
      <c r="M41" s="211"/>
      <c r="N41" s="256">
        <f>N36-(N38+N39)</f>
        <v>6255.8435533114798</v>
      </c>
      <c r="O41" s="212">
        <f>N$41/N$14</f>
        <v>0.15341805265812691</v>
      </c>
      <c r="P41" s="272"/>
      <c r="Q41" s="256">
        <f>Q36-(Q38+Q39)</f>
        <v>9471.623641914759</v>
      </c>
      <c r="R41" s="212">
        <f>Q$41/Q$14</f>
        <v>0.20605635799874511</v>
      </c>
      <c r="S41" s="214"/>
      <c r="T41" s="256">
        <f>T36-(T38+T39)</f>
        <v>15469.786663606559</v>
      </c>
      <c r="U41" s="212">
        <f>T$41/T$14</f>
        <v>0.278212306857957</v>
      </c>
      <c r="V41" s="214"/>
      <c r="W41" s="256">
        <f>W36-(W38+W39)</f>
        <v>28542.706069857926</v>
      </c>
      <c r="X41" s="212">
        <f>W$41/W$14</f>
        <v>0.37257008613538811</v>
      </c>
      <c r="Y41" s="214"/>
      <c r="Z41" s="256">
        <f>Z36-(Z38+Z39)</f>
        <v>23774.935462872138</v>
      </c>
      <c r="AA41" s="212">
        <f>Z$41/Z$14</f>
        <v>0.34481779811261432</v>
      </c>
      <c r="AB41" s="214"/>
      <c r="AC41" s="256">
        <f>AC36-(AC38+AC39)</f>
        <v>8548.8293308852499</v>
      </c>
      <c r="AD41" s="212">
        <f>AC$41/AC$14</f>
        <v>0.19218021398735818</v>
      </c>
      <c r="AE41" s="214"/>
      <c r="AF41" s="256">
        <f>AF36-(AF38+AF39)</f>
        <v>7087.7383384218574</v>
      </c>
      <c r="AG41" s="212">
        <f>AF$41/AF$14</f>
        <v>0.1682123288767807</v>
      </c>
      <c r="AH41" s="214"/>
      <c r="AI41" s="256">
        <f>AI36-(AI38+AI39)</f>
        <v>3287.5959659016371</v>
      </c>
      <c r="AJ41" s="212">
        <f>AI$41/AI$14</f>
        <v>8.8687356611274415E-2</v>
      </c>
      <c r="AK41" s="214"/>
      <c r="AL41" s="256">
        <f>AL36-(AL38+AL39)</f>
        <v>9471.623641914759</v>
      </c>
      <c r="AM41" s="212">
        <f>AL$41/AL$14</f>
        <v>0.20605635799874511</v>
      </c>
      <c r="AN41" s="214"/>
      <c r="AO41" s="214"/>
      <c r="AP41" s="215">
        <f>+$AL41+$AI41+$AF41+$AC41+$Z41+$W41+$T41+$Q41+$N41+$K41+$H41+$E41</f>
        <v>116516.70127016398</v>
      </c>
      <c r="AQ41" s="212">
        <f>AP$41/AP$14</f>
        <v>0.2061112080700235</v>
      </c>
      <c r="AR41" s="214"/>
      <c r="AS41" s="216">
        <f>+AS36-(AS38+AS39)</f>
        <v>12831.96538000002</v>
      </c>
      <c r="AT41" s="217">
        <f>AS$41/AS$14</f>
        <v>2.600000000000004E-2</v>
      </c>
      <c r="AU41" s="211"/>
      <c r="AV41" s="211">
        <v>2.8</v>
      </c>
      <c r="AW41" s="211"/>
      <c r="AX41" s="211"/>
      <c r="AY41" s="211"/>
      <c r="AZ41" s="211"/>
    </row>
    <row r="42" spans="3:52" x14ac:dyDescent="0.15">
      <c r="C42" s="201"/>
      <c r="E42" s="219"/>
      <c r="F42" s="192"/>
      <c r="H42" s="219"/>
      <c r="I42" s="192"/>
      <c r="K42" s="219"/>
      <c r="L42" s="192"/>
      <c r="N42" s="219"/>
      <c r="O42" s="192"/>
      <c r="P42" s="193"/>
      <c r="Q42" s="219"/>
      <c r="R42" s="192"/>
      <c r="T42" s="219"/>
      <c r="U42" s="192"/>
      <c r="W42" s="219"/>
      <c r="X42" s="192"/>
      <c r="Z42" s="219"/>
      <c r="AA42" s="192"/>
      <c r="AC42" s="219"/>
      <c r="AD42" s="192"/>
      <c r="AF42" s="219"/>
      <c r="AG42" s="192"/>
      <c r="AI42" s="219"/>
      <c r="AJ42" s="192"/>
      <c r="AL42" s="219"/>
      <c r="AM42" s="192"/>
      <c r="AP42" s="220"/>
      <c r="AQ42" s="195"/>
      <c r="AS42" s="221"/>
      <c r="AT42" s="222"/>
    </row>
    <row r="43" spans="3:52" x14ac:dyDescent="0.15">
      <c r="C43" s="604" t="s">
        <v>189</v>
      </c>
      <c r="E43" s="219">
        <f>+$F$47*E41</f>
        <v>844.47738628721368</v>
      </c>
      <c r="F43" s="192">
        <f>E$43/E$14</f>
        <v>2.2046053501610454E-2</v>
      </c>
      <c r="H43" s="219">
        <f>+$F$47*H41</f>
        <v>-864.60758430845851</v>
      </c>
      <c r="I43" s="192">
        <f>H$43/H$14</f>
        <v>-2.7766620624080588E-2</v>
      </c>
      <c r="K43" s="219">
        <f>+$F$47*K41</f>
        <v>849.21354628721338</v>
      </c>
      <c r="L43" s="192">
        <f>K$43/K$14</f>
        <v>2.2169696406024082E-2</v>
      </c>
      <c r="N43" s="219">
        <f>+$F$47*N41</f>
        <v>1126.0518395960664</v>
      </c>
      <c r="O43" s="192">
        <f>N$43/N$14</f>
        <v>2.7615249478462847E-2</v>
      </c>
      <c r="P43" s="193"/>
      <c r="Q43" s="219">
        <f>+$F$47*Q41</f>
        <v>1704.8922555446566</v>
      </c>
      <c r="R43" s="192">
        <f>Q$43/Q$14</f>
        <v>3.7090144439774118E-2</v>
      </c>
      <c r="T43" s="219">
        <f>+$F$47*T41</f>
        <v>2784.5615994491804</v>
      </c>
      <c r="U43" s="192">
        <f>T$43/T$14</f>
        <v>5.0078215234432261E-2</v>
      </c>
      <c r="W43" s="219">
        <f>+$F$47*W41</f>
        <v>5137.687092574427</v>
      </c>
      <c r="X43" s="192">
        <f>W$43/W$14</f>
        <v>6.7062615504369871E-2</v>
      </c>
      <c r="Z43" s="219">
        <f>+$F$47*Z41</f>
        <v>4279.4883833169843</v>
      </c>
      <c r="AA43" s="192">
        <f>Z$43/Z$14</f>
        <v>6.2067203660270576E-2</v>
      </c>
      <c r="AC43" s="219">
        <f>+$F$47*AC41</f>
        <v>1538.789279559345</v>
      </c>
      <c r="AD43" s="192">
        <f>AC$43/AC$14</f>
        <v>3.4592438517724478E-2</v>
      </c>
      <c r="AF43" s="219">
        <f>+$F$47*AF41</f>
        <v>1275.7929009159343</v>
      </c>
      <c r="AG43" s="192">
        <f>AF$43/AF$14</f>
        <v>3.0278219197820522E-2</v>
      </c>
      <c r="AI43" s="219">
        <f>+$F$47*AI41</f>
        <v>591.7672738622947</v>
      </c>
      <c r="AJ43" s="192">
        <f>AI$43/AI$14</f>
        <v>1.5963724190029397E-2</v>
      </c>
      <c r="AL43" s="219">
        <f>+$F$47*AL41</f>
        <v>1704.8922555446566</v>
      </c>
      <c r="AM43" s="192">
        <f>AL$43/AL$14</f>
        <v>3.7090144439774118E-2</v>
      </c>
      <c r="AP43" s="220">
        <f>+$AL43+$AI43+$AF43+$AC43+$Z43+$W43+$T43+$Q43+$N43+$K43+$H43+$E43</f>
        <v>20973.006228629514</v>
      </c>
      <c r="AQ43" s="195">
        <f>AP$43/AP$14</f>
        <v>3.7100017452604224E-2</v>
      </c>
      <c r="AS43" s="270">
        <f>+$F$47*AS41</f>
        <v>2309.7537684000035</v>
      </c>
      <c r="AT43" s="222">
        <f>AS$43/AS$14</f>
        <v>4.6800000000000071E-3</v>
      </c>
    </row>
    <row r="44" spans="3:52" ht="14" thickBot="1" x14ac:dyDescent="0.2">
      <c r="C44" s="201"/>
      <c r="E44" s="219"/>
      <c r="F44" s="192"/>
      <c r="H44" s="219"/>
      <c r="I44" s="192"/>
      <c r="K44" s="219"/>
      <c r="L44" s="192"/>
      <c r="N44" s="219"/>
      <c r="O44" s="192"/>
      <c r="P44" s="193"/>
      <c r="Q44" s="219"/>
      <c r="R44" s="192"/>
      <c r="T44" s="219"/>
      <c r="U44" s="192"/>
      <c r="W44" s="219"/>
      <c r="X44" s="192"/>
      <c r="Z44" s="219"/>
      <c r="AA44" s="192"/>
      <c r="AC44" s="219"/>
      <c r="AD44" s="192"/>
      <c r="AF44" s="219"/>
      <c r="AG44" s="192"/>
      <c r="AI44" s="219"/>
      <c r="AJ44" s="192"/>
      <c r="AL44" s="219"/>
      <c r="AM44" s="192"/>
      <c r="AP44" s="273"/>
      <c r="AQ44" s="239"/>
      <c r="AS44" s="274"/>
      <c r="AT44" s="240"/>
    </row>
    <row r="45" spans="3:52" ht="14" thickBot="1" x14ac:dyDescent="0.2">
      <c r="C45" s="275" t="s">
        <v>162</v>
      </c>
      <c r="D45" s="211"/>
      <c r="E45" s="276">
        <f>E41-E43</f>
        <v>3847.0636486417516</v>
      </c>
      <c r="F45" s="277">
        <f>E$45/E$14</f>
        <v>0.10043202150733652</v>
      </c>
      <c r="G45" s="213"/>
      <c r="H45" s="276">
        <f>H41-H43</f>
        <v>-3938.7678840718668</v>
      </c>
      <c r="I45" s="277">
        <f>H$45/H$14</f>
        <v>-0.1264923828430338</v>
      </c>
      <c r="J45" s="211"/>
      <c r="K45" s="276">
        <f>K41-K43</f>
        <v>3868.6394886417497</v>
      </c>
      <c r="L45" s="277">
        <f>K$45/K$14</f>
        <v>0.10099528362744303</v>
      </c>
      <c r="M45" s="211"/>
      <c r="N45" s="276">
        <f>N41-N43</f>
        <v>5129.7917137154136</v>
      </c>
      <c r="O45" s="277">
        <f>N$45/N$14</f>
        <v>0.12580280317966408</v>
      </c>
      <c r="P45" s="272"/>
      <c r="Q45" s="276">
        <f>Q41-Q43</f>
        <v>7766.731386370102</v>
      </c>
      <c r="R45" s="277">
        <f>Q$45/Q$14</f>
        <v>0.16896621355897098</v>
      </c>
      <c r="S45" s="214"/>
      <c r="T45" s="276">
        <f>T41-T43</f>
        <v>12685.225064157379</v>
      </c>
      <c r="U45" s="277">
        <f>T$45/T$14</f>
        <v>0.22813409162352477</v>
      </c>
      <c r="V45" s="214"/>
      <c r="W45" s="276">
        <f>W41-W43</f>
        <v>23405.0189772835</v>
      </c>
      <c r="X45" s="277">
        <f>W$45/W$14</f>
        <v>0.3055074706310183</v>
      </c>
      <c r="Y45" s="214"/>
      <c r="Z45" s="276">
        <f>Z41-Z43</f>
        <v>19495.447079555153</v>
      </c>
      <c r="AA45" s="277">
        <f>Z$45/Z$14</f>
        <v>0.28275059445234374</v>
      </c>
      <c r="AB45" s="214"/>
      <c r="AC45" s="276">
        <f>AC41-AC43</f>
        <v>7010.0400513259046</v>
      </c>
      <c r="AD45" s="277">
        <f>AC$45/AC$14</f>
        <v>0.15758777546963371</v>
      </c>
      <c r="AE45" s="214"/>
      <c r="AF45" s="276">
        <f>AF41-AF43</f>
        <v>5811.9454375059231</v>
      </c>
      <c r="AG45" s="277">
        <f>AF$45/AF$14</f>
        <v>0.13793410967896017</v>
      </c>
      <c r="AH45" s="214"/>
      <c r="AI45" s="276">
        <f>AI41-AI43</f>
        <v>2695.8286920393425</v>
      </c>
      <c r="AJ45" s="277">
        <f>AI$45/AI$14</f>
        <v>7.2723632421245021E-2</v>
      </c>
      <c r="AK45" s="214"/>
      <c r="AL45" s="276">
        <f>AL41-AL43</f>
        <v>7766.731386370102</v>
      </c>
      <c r="AM45" s="277">
        <f>AL$45/AL$14</f>
        <v>0.16896621355897098</v>
      </c>
      <c r="AN45" s="214"/>
      <c r="AO45" s="214"/>
      <c r="AP45" s="278">
        <f>+$AL45+$AI45+$AF45+$AC45+$Z45+$W45+$T45+$Q45+$N45+$K45+$H45+$E45</f>
        <v>95543.695041534447</v>
      </c>
      <c r="AQ45" s="277">
        <f>AP$45/AP$14</f>
        <v>0.16901119061741926</v>
      </c>
      <c r="AR45" s="214"/>
      <c r="AS45" s="279">
        <f>+AS41-AS43</f>
        <v>10522.211611600016</v>
      </c>
      <c r="AT45" s="280">
        <f>AS$45/AS$14</f>
        <v>2.1320000000000033E-2</v>
      </c>
      <c r="AU45" s="211"/>
      <c r="AV45" s="211"/>
      <c r="AW45" s="211"/>
      <c r="AX45" s="211"/>
      <c r="AY45" s="211"/>
      <c r="AZ45" s="211"/>
    </row>
    <row r="46" spans="3:52" ht="15" thickTop="1" thickBot="1" x14ac:dyDescent="0.2">
      <c r="P46" s="193"/>
    </row>
    <row r="47" spans="3:52" ht="15" thickTop="1" thickBot="1" x14ac:dyDescent="0.2">
      <c r="E47" s="281" t="s">
        <v>163</v>
      </c>
      <c r="F47" s="282">
        <v>0.18</v>
      </c>
      <c r="AP47" s="203" t="s">
        <v>2</v>
      </c>
    </row>
    <row r="48" spans="3:52" ht="14" thickTop="1" x14ac:dyDescent="0.15"/>
  </sheetData>
  <sheetProtection algorithmName="SHA-512" hashValue="QOpKztDB7sEZjBKr7nms1yil8Yl4XH0oIuHXCurvoi8+TbGiIqsF4qYnRNBbodC68snWPguAJdcZ0gWuizAomQ==" saltValue="fa/7PUZLl6KFm7qEMAzdVA==" spinCount="100000" sheet="1" objects="1" scenarios="1"/>
  <mergeCells count="3">
    <mergeCell ref="AY6:AZ9"/>
    <mergeCell ref="BB2:BB8"/>
    <mergeCell ref="BL2:BL8"/>
  </mergeCells>
  <hyperlinks>
    <hyperlink ref="C27" r:id="rId1" xr:uid="{2914635A-271E-094D-862E-D8249384B481}"/>
    <hyperlink ref="C28" r:id="rId2" xr:uid="{4876D9AA-10EB-6D4E-B300-826D2FBE612D}"/>
    <hyperlink ref="C29" r:id="rId3" xr:uid="{7A2778BE-4896-D643-8DD1-CA226F39D227}"/>
    <hyperlink ref="C30" r:id="rId4" xr:uid="{2282448E-35AF-624C-813A-BA72D4E47573}"/>
    <hyperlink ref="C31" r:id="rId5" xr:uid="{1CAAE406-BCBA-AE42-8D1F-E68DA62CEE12}"/>
    <hyperlink ref="C32" r:id="rId6" xr:uid="{AFD3DB87-2A89-F34B-B986-60791F1A16E5}"/>
    <hyperlink ref="C33" r:id="rId7" xr:uid="{6C6A8BC7-218B-F742-93C5-2BD4EC558DEF}"/>
    <hyperlink ref="C38" r:id="rId8" xr:uid="{5726F8F8-B897-1D4A-96A9-3058B0A1D6DC}"/>
    <hyperlink ref="C39" r:id="rId9" xr:uid="{1934515C-121C-A44D-BBB2-7A809AE1F00C}"/>
  </hyperlinks>
  <pageMargins left="0.75000000000000011" right="0.75000000000000011" top="1" bottom="1" header="0.49" footer="0.49"/>
  <pageSetup paperSize="5" scale="40" orientation="landscape"/>
  <headerFooter>
    <oddFooter>&amp;C&amp;K000000Budget et indicateurs de performance (430-763-Me)</oddFooter>
  </headerFooter>
  <ignoredErrors>
    <ignoredError sqref="AS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83EB-1024-8844-AEA6-686D846C80D3}">
  <sheetPr>
    <tabColor theme="1"/>
  </sheetPr>
  <dimension ref="B1:BC82"/>
  <sheetViews>
    <sheetView zoomScale="125" zoomScaleNormal="125" zoomScalePageLayoutView="125" workbookViewId="0">
      <pane xSplit="2" ySplit="9" topLeftCell="AO10" activePane="bottomRight" state="frozen"/>
      <selection pane="topRight" activeCell="C1" sqref="C1"/>
      <selection pane="bottomLeft" activeCell="A10" sqref="A10"/>
      <selection pane="bottomRight" activeCell="AS2" sqref="AS2:BC8"/>
    </sheetView>
  </sheetViews>
  <sheetFormatPr baseColWidth="10" defaultRowHeight="13" x14ac:dyDescent="0.15"/>
  <cols>
    <col min="1" max="1" width="1.5" style="161" customWidth="1"/>
    <col min="2" max="2" width="55.5" style="161" bestFit="1" customWidth="1"/>
    <col min="3" max="3" width="0.83203125" style="161" customWidth="1"/>
    <col min="4" max="4" width="15.6640625" style="161" bestFit="1" customWidth="1"/>
    <col min="5" max="5" width="7.1640625" style="161" bestFit="1" customWidth="1"/>
    <col min="6" max="6" width="0.83203125" style="161" customWidth="1"/>
    <col min="7" max="7" width="15.6640625" style="161" bestFit="1" customWidth="1"/>
    <col min="8" max="8" width="7.1640625" style="161" bestFit="1" customWidth="1"/>
    <col min="9" max="9" width="0.83203125" style="161" customWidth="1"/>
    <col min="10" max="10" width="15.6640625" style="161" bestFit="1" customWidth="1"/>
    <col min="11" max="11" width="7.1640625" style="161" bestFit="1" customWidth="1"/>
    <col min="12" max="12" width="0.83203125" style="161" customWidth="1"/>
    <col min="13" max="13" width="15.6640625" style="161" bestFit="1" customWidth="1"/>
    <col min="14" max="14" width="7.1640625" style="161" bestFit="1" customWidth="1"/>
    <col min="15" max="15" width="0.83203125" style="161" customWidth="1"/>
    <col min="16" max="16" width="15.6640625" style="161" bestFit="1" customWidth="1"/>
    <col min="17" max="17" width="7.1640625" style="161" bestFit="1" customWidth="1"/>
    <col min="18" max="18" width="0.83203125" style="161" customWidth="1"/>
    <col min="19" max="19" width="15.6640625" style="161" bestFit="1" customWidth="1"/>
    <col min="20" max="20" width="7.1640625" style="161" bestFit="1" customWidth="1"/>
    <col min="21" max="21" width="0.83203125" style="161" customWidth="1"/>
    <col min="22" max="22" width="15.6640625" style="161" bestFit="1" customWidth="1"/>
    <col min="23" max="23" width="7.6640625" style="161" bestFit="1" customWidth="1"/>
    <col min="24" max="24" width="0.83203125" style="161" customWidth="1"/>
    <col min="25" max="25" width="15.6640625" style="161" bestFit="1" customWidth="1"/>
    <col min="26" max="26" width="7.6640625" style="161" bestFit="1" customWidth="1"/>
    <col min="27" max="27" width="0.83203125" style="161" customWidth="1"/>
    <col min="28" max="28" width="15.6640625" style="161" bestFit="1" customWidth="1"/>
    <col min="29" max="29" width="7.1640625" style="161" bestFit="1" customWidth="1"/>
    <col min="30" max="30" width="0.83203125" style="161" customWidth="1"/>
    <col min="31" max="31" width="15.6640625" style="161" bestFit="1" customWidth="1"/>
    <col min="32" max="32" width="7.1640625" style="161" bestFit="1" customWidth="1"/>
    <col min="33" max="33" width="0.83203125" style="161" customWidth="1"/>
    <col min="34" max="34" width="15.6640625" style="161" bestFit="1" customWidth="1"/>
    <col min="35" max="35" width="7.1640625" style="161" bestFit="1" customWidth="1"/>
    <col min="36" max="36" width="0.83203125" style="161" customWidth="1"/>
    <col min="37" max="37" width="15.6640625" style="161" bestFit="1" customWidth="1"/>
    <col min="38" max="38" width="7.1640625" style="161" bestFit="1" customWidth="1"/>
    <col min="39" max="40" width="0.83203125" style="161" customWidth="1"/>
    <col min="41" max="41" width="15.6640625" style="161" bestFit="1" customWidth="1"/>
    <col min="42" max="42" width="8.83203125" style="161" bestFit="1" customWidth="1"/>
    <col min="43" max="43" width="0.83203125" style="161" customWidth="1"/>
    <col min="44" max="44" width="3.5" style="161" customWidth="1"/>
    <col min="45" max="45" width="8.5" style="161" bestFit="1" customWidth="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677" t="str">
        <f>'État des Résultats'!C2</f>
        <v xml:space="preserve">Entreprise de restauration alimentaire 12 inc. </v>
      </c>
      <c r="G2" s="313" t="s">
        <v>2</v>
      </c>
      <c r="AS2" s="898" t="s">
        <v>42</v>
      </c>
      <c r="AT2" s="369"/>
      <c r="AU2" s="369"/>
      <c r="AV2" s="369"/>
      <c r="AW2" s="369"/>
      <c r="AX2" s="369"/>
      <c r="AY2" s="369"/>
      <c r="AZ2" s="369"/>
      <c r="BA2" s="369"/>
      <c r="BB2" s="369"/>
      <c r="BC2" s="901" t="s">
        <v>43</v>
      </c>
    </row>
    <row r="3" spans="2:55" ht="20" customHeight="1" x14ac:dyDescent="0.2">
      <c r="B3" s="678" t="str">
        <f>'État des Résultats'!C3</f>
        <v xml:space="preserve">États des résultats prévisionnels </v>
      </c>
      <c r="AS3" s="899"/>
      <c r="AT3" s="370"/>
      <c r="AU3" s="370"/>
      <c r="AV3" s="370"/>
      <c r="AW3" s="370"/>
      <c r="AX3" s="370"/>
      <c r="AY3" s="370"/>
      <c r="AZ3" s="370"/>
      <c r="BA3" s="370"/>
      <c r="BB3" s="370"/>
      <c r="BC3" s="902"/>
    </row>
    <row r="4" spans="2:55" ht="20" customHeight="1" thickBot="1" x14ac:dyDescent="0.3">
      <c r="B4" s="679" t="str">
        <f>'État des Résultats'!C4</f>
        <v>Pour la période du 1er janvier 2021 au 31 décembre 2021</v>
      </c>
      <c r="D4" s="314" t="s">
        <v>2</v>
      </c>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5" ht="21" thickTop="1" thickBot="1" x14ac:dyDescent="0.3">
      <c r="B5" s="252"/>
      <c r="AS5" s="899"/>
      <c r="AT5" s="372" t="s">
        <v>2</v>
      </c>
      <c r="AU5" s="373"/>
      <c r="AV5" s="372"/>
      <c r="AW5" s="373"/>
      <c r="AX5" s="373"/>
      <c r="AY5" s="373"/>
      <c r="AZ5" s="373"/>
      <c r="BA5" s="373"/>
      <c r="BB5" s="373"/>
      <c r="BC5" s="902"/>
    </row>
    <row r="6" spans="2:55" ht="27" thickTop="1" x14ac:dyDescent="0.3">
      <c r="B6" s="167" t="str">
        <f>'État des Résultats'!C6</f>
        <v>Nb de places</v>
      </c>
      <c r="D6" s="608" t="s">
        <v>173</v>
      </c>
      <c r="E6" s="605">
        <f>D14/$B$7/'Calendrier 2021'!D8</f>
        <v>7.4717583999999997</v>
      </c>
      <c r="F6" s="170"/>
      <c r="G6" s="608" t="str">
        <f>+D6</f>
        <v>Coût / place / jour</v>
      </c>
      <c r="H6" s="605">
        <f>G14/$B$7/'Calendrier 2021'!E8</f>
        <v>6.7245825599999991</v>
      </c>
      <c r="I6" s="170"/>
      <c r="J6" s="608" t="str">
        <f>+G6</f>
        <v>Coût / place / jour</v>
      </c>
      <c r="K6" s="605">
        <f>J14/$B$7/'Calendrier 2021'!F8</f>
        <v>7.4717583999999997</v>
      </c>
      <c r="L6" s="170"/>
      <c r="M6" s="608" t="str">
        <f>+J6</f>
        <v>Coût / place / jour</v>
      </c>
      <c r="N6" s="605">
        <f>M14/$B$7/'Calendrier 2021'!G8</f>
        <v>8.2189342399999994</v>
      </c>
      <c r="O6" s="171"/>
      <c r="P6" s="617" t="str">
        <f>+M6</f>
        <v>Coût / place / jour</v>
      </c>
      <c r="Q6" s="605">
        <f>P14/$B$7/'Calendrier 2021'!H8</f>
        <v>8.9661100800000018</v>
      </c>
      <c r="R6" s="170"/>
      <c r="S6" s="617" t="str">
        <f>+P6</f>
        <v>Coût / place / jour</v>
      </c>
      <c r="T6" s="605">
        <f>S14/$B$7/'Calendrier 2021'!I8</f>
        <v>11.207637600000002</v>
      </c>
      <c r="U6" s="170"/>
      <c r="V6" s="617" t="str">
        <f>+S6</f>
        <v>Coût / place / jour</v>
      </c>
      <c r="W6" s="605">
        <f>V14/$B$7/'Calendrier 2021'!J8</f>
        <v>14.943516799999999</v>
      </c>
      <c r="X6" s="170"/>
      <c r="Y6" s="608" t="str">
        <f>+V6</f>
        <v>Coût / place / jour</v>
      </c>
      <c r="Z6" s="605">
        <f>Y14/$B$7/'Calendrier 2021'!K8</f>
        <v>13.44916512</v>
      </c>
      <c r="AA6" s="170"/>
      <c r="AB6" s="608" t="str">
        <f>+Y6</f>
        <v>Coût / place / jour</v>
      </c>
      <c r="AC6" s="605">
        <f>AB14/$B$7/'Calendrier 2021'!L8</f>
        <v>8.96611008</v>
      </c>
      <c r="AD6" s="562"/>
      <c r="AE6" s="608" t="str">
        <f>+AB6</f>
        <v>Coût / place / jour</v>
      </c>
      <c r="AF6" s="605">
        <f>AE14/$B$7/'Calendrier 2021'!M8</f>
        <v>8.2189342400000012</v>
      </c>
      <c r="AG6" s="170"/>
      <c r="AH6" s="608" t="str">
        <f>+AE6</f>
        <v>Coût / place / jour</v>
      </c>
      <c r="AI6" s="605">
        <f>AH14/$B$7/'Calendrier 2021'!N8</f>
        <v>7.4717583999999997</v>
      </c>
      <c r="AJ6" s="170"/>
      <c r="AK6" s="608" t="str">
        <f>+AH6</f>
        <v>Coût / place / jour</v>
      </c>
      <c r="AL6" s="605">
        <f>AK14/$B$7/'Calendrier 2021'!O8</f>
        <v>8.9661100800000018</v>
      </c>
      <c r="AM6" s="170"/>
      <c r="AN6" s="170"/>
      <c r="AO6" s="606" t="str">
        <f>+D6</f>
        <v>Coût / place / jour</v>
      </c>
      <c r="AP6" s="618">
        <f>+AO14/$B$7/'% Occupation'!P8</f>
        <v>9.3652862136986315</v>
      </c>
      <c r="AQ6" s="170"/>
      <c r="AR6" s="170"/>
      <c r="AS6" s="899"/>
      <c r="AT6" s="374" t="str">
        <f>'Formule pour le calcul D'!BA105</f>
        <v xml:space="preserve">C </v>
      </c>
      <c r="AU6" s="375"/>
      <c r="AV6" s="374" t="str">
        <f>'Formule pour le calcul D'!BC105</f>
        <v>A</v>
      </c>
      <c r="AW6" s="375"/>
      <c r="AX6" s="375"/>
      <c r="AY6" s="374" t="str">
        <f>AY4</f>
        <v>Um/A</v>
      </c>
      <c r="AZ6" s="375"/>
      <c r="BA6" s="374" t="str">
        <f>BA4</f>
        <v>CmO</v>
      </c>
      <c r="BB6" s="375"/>
      <c r="BC6" s="902"/>
    </row>
    <row r="7" spans="2:55" ht="21" x14ac:dyDescent="0.25">
      <c r="B7" s="613">
        <f>'État des Résultats'!C7</f>
        <v>50</v>
      </c>
      <c r="D7" s="609">
        <f>+D14/$AO$14</f>
        <v>6.7759562841530049E-2</v>
      </c>
      <c r="E7" s="178"/>
      <c r="F7" s="170"/>
      <c r="G7" s="609">
        <f>+G14/$AO$14</f>
        <v>5.5081967213114737E-2</v>
      </c>
      <c r="H7" s="614"/>
      <c r="I7" s="170"/>
      <c r="J7" s="609">
        <f>+J14/$AO$14</f>
        <v>6.7759562841530049E-2</v>
      </c>
      <c r="K7" s="614"/>
      <c r="L7" s="170"/>
      <c r="M7" s="609">
        <f>+M14/$AO$14</f>
        <v>7.2131147540983598E-2</v>
      </c>
      <c r="N7" s="614"/>
      <c r="O7" s="171"/>
      <c r="P7" s="609">
        <f>+P14/$AO$14</f>
        <v>8.1311475409836062E-2</v>
      </c>
      <c r="Q7" s="614"/>
      <c r="R7" s="170"/>
      <c r="S7" s="609">
        <f>+S14/$AO$14</f>
        <v>9.836065573770493E-2</v>
      </c>
      <c r="T7" s="614"/>
      <c r="U7" s="170"/>
      <c r="V7" s="609">
        <f>+V14/$AO$14</f>
        <v>0.1355191256830601</v>
      </c>
      <c r="W7" s="614"/>
      <c r="X7" s="170"/>
      <c r="Y7" s="609">
        <f>+Y14/$AO$14</f>
        <v>0.1219672131147541</v>
      </c>
      <c r="Z7" s="614"/>
      <c r="AA7" s="170"/>
      <c r="AB7" s="609">
        <f>+AB14/$AO$14</f>
        <v>7.8688524590163927E-2</v>
      </c>
      <c r="AC7" s="614"/>
      <c r="AD7" s="437"/>
      <c r="AE7" s="609">
        <f>+AE14/$AO$14</f>
        <v>7.4535519125683056E-2</v>
      </c>
      <c r="AF7" s="614"/>
      <c r="AG7" s="170"/>
      <c r="AH7" s="609">
        <f>+AH14/$AO$14</f>
        <v>6.5573770491803268E-2</v>
      </c>
      <c r="AI7" s="614"/>
      <c r="AJ7" s="170"/>
      <c r="AK7" s="609">
        <f>+AK14/$AO$14</f>
        <v>8.1311475409836062E-2</v>
      </c>
      <c r="AL7" s="614"/>
      <c r="AM7" s="170"/>
      <c r="AN7" s="170"/>
      <c r="AO7" s="609">
        <f>+AO14/$AO$14</f>
        <v>1</v>
      </c>
      <c r="AP7" s="619" t="s">
        <v>137</v>
      </c>
      <c r="AQ7" s="170"/>
      <c r="AR7" s="170"/>
      <c r="AS7" s="899"/>
      <c r="AT7" s="684">
        <f>AO22</f>
        <v>394393.40159999998</v>
      </c>
      <c r="AU7" s="371" t="s">
        <v>44</v>
      </c>
      <c r="AV7" s="685">
        <f>'Formule pour le calcul D'!G106</f>
        <v>22875</v>
      </c>
      <c r="AW7" s="371" t="s">
        <v>45</v>
      </c>
      <c r="AX7" s="371" t="s">
        <v>46</v>
      </c>
      <c r="AY7" s="686">
        <f>'Formule pour le calcul D'!J106</f>
        <v>2.2200000000000002</v>
      </c>
      <c r="AZ7" s="371" t="s">
        <v>45</v>
      </c>
      <c r="BA7" s="687">
        <f>AT7/AV7/AY7</f>
        <v>7.7663250450450434</v>
      </c>
      <c r="BB7" s="371" t="s">
        <v>49</v>
      </c>
      <c r="BC7" s="902"/>
    </row>
    <row r="8" spans="2:55" ht="17" thickBot="1" x14ac:dyDescent="0.25">
      <c r="B8" s="315" t="s">
        <v>195</v>
      </c>
      <c r="D8" s="610" t="str">
        <f>'État des Résultats'!E8</f>
        <v>Pér.01</v>
      </c>
      <c r="E8" s="182"/>
      <c r="F8" s="183"/>
      <c r="G8" s="610" t="str">
        <f>'État des Résultats'!H8</f>
        <v>Pér.02</v>
      </c>
      <c r="H8" s="615"/>
      <c r="I8" s="183"/>
      <c r="J8" s="610" t="str">
        <f>'État des Résultats'!K8</f>
        <v>Pér.03</v>
      </c>
      <c r="K8" s="615"/>
      <c r="L8" s="183"/>
      <c r="M8" s="610" t="str">
        <f>'État des Résultats'!N8</f>
        <v>Pér.04</v>
      </c>
      <c r="N8" s="615"/>
      <c r="O8" s="185"/>
      <c r="P8" s="610" t="str">
        <f>'État des Résultats'!Q8</f>
        <v>Pér.05</v>
      </c>
      <c r="Q8" s="615"/>
      <c r="R8" s="183"/>
      <c r="S8" s="610" t="str">
        <f>'État des Résultats'!T8</f>
        <v>Pér.06</v>
      </c>
      <c r="T8" s="615"/>
      <c r="U8" s="183"/>
      <c r="V8" s="610" t="str">
        <f>'État des Résultats'!W8</f>
        <v>Pér.07</v>
      </c>
      <c r="W8" s="615"/>
      <c r="X8" s="183"/>
      <c r="Y8" s="610" t="str">
        <f>'État des Résultats'!Z8</f>
        <v>Pér.08</v>
      </c>
      <c r="Z8" s="615"/>
      <c r="AA8" s="183"/>
      <c r="AB8" s="610" t="str">
        <f>'État des Résultats'!AC8</f>
        <v>Pér.09</v>
      </c>
      <c r="AC8" s="615"/>
      <c r="AD8" s="563"/>
      <c r="AE8" s="610" t="str">
        <f>'État des Résultats'!AF8</f>
        <v>Pér.10</v>
      </c>
      <c r="AF8" s="615"/>
      <c r="AG8" s="183"/>
      <c r="AH8" s="610" t="str">
        <f>'État des Résultats'!AI8</f>
        <v>Pér.11</v>
      </c>
      <c r="AI8" s="615"/>
      <c r="AJ8" s="183"/>
      <c r="AK8" s="610" t="str">
        <f>'État des Résultats'!AL8</f>
        <v>Pér.12</v>
      </c>
      <c r="AL8" s="615"/>
      <c r="AM8" s="183"/>
      <c r="AN8" s="316"/>
      <c r="AO8" s="610" t="str">
        <f>'État des Résultats'!AP8</f>
        <v>Total</v>
      </c>
      <c r="AP8" s="620"/>
      <c r="AS8" s="900"/>
      <c r="AT8" s="376"/>
      <c r="AU8" s="376"/>
      <c r="AV8" s="376"/>
      <c r="AW8" s="376"/>
      <c r="AX8" s="376"/>
      <c r="AY8" s="376"/>
      <c r="AZ8" s="376"/>
      <c r="BA8" s="376"/>
      <c r="BB8" s="376"/>
      <c r="BC8" s="903"/>
    </row>
    <row r="9" spans="2:55" ht="15" thickTop="1" thickBot="1" x14ac:dyDescent="0.2">
      <c r="B9" s="607">
        <f>+AO14/B7</f>
        <v>3418.3294680000004</v>
      </c>
      <c r="D9" s="611" t="str">
        <f>'État des Résultats'!E9</f>
        <v>Janvier 2021</v>
      </c>
      <c r="E9" s="612" t="str">
        <f>'État des Résultats'!F8</f>
        <v>(%)</v>
      </c>
      <c r="F9" s="293"/>
      <c r="G9" s="611" t="str">
        <f>'État des Résultats'!H9</f>
        <v>Février 2021</v>
      </c>
      <c r="H9" s="616" t="str">
        <f>'État des Résultats'!I8</f>
        <v>(%)</v>
      </c>
      <c r="I9" s="294"/>
      <c r="J9" s="611" t="str">
        <f>'État des Résultats'!K9</f>
        <v>Mars 2021</v>
      </c>
      <c r="K9" s="616" t="str">
        <f>'État des Résultats'!L8</f>
        <v>(%)</v>
      </c>
      <c r="L9" s="293"/>
      <c r="M9" s="611" t="str">
        <f>'État des Résultats'!N9</f>
        <v>Avril 2021</v>
      </c>
      <c r="N9" s="616" t="str">
        <f>'État des Résultats'!O8</f>
        <v>(%)</v>
      </c>
      <c r="O9" s="295"/>
      <c r="P9" s="611" t="str">
        <f>'État des Résultats'!Q9</f>
        <v>Mai 2021</v>
      </c>
      <c r="Q9" s="616" t="str">
        <f>'État des Résultats'!R8</f>
        <v>(%)</v>
      </c>
      <c r="R9" s="293"/>
      <c r="S9" s="611" t="str">
        <f>'État des Résultats'!T9</f>
        <v>Juin 2021</v>
      </c>
      <c r="T9" s="616" t="str">
        <f>'État des Résultats'!U8</f>
        <v>(%)</v>
      </c>
      <c r="U9" s="293"/>
      <c r="V9" s="611" t="str">
        <f>'État des Résultats'!W9</f>
        <v>Juillet 2021</v>
      </c>
      <c r="W9" s="616" t="str">
        <f>'État des Résultats'!X8</f>
        <v>(%)</v>
      </c>
      <c r="X9" s="293"/>
      <c r="Y9" s="611" t="str">
        <f>'État des Résultats'!Z9</f>
        <v>Août 2021</v>
      </c>
      <c r="Z9" s="616" t="str">
        <f>'État des Résultats'!AA8</f>
        <v>(%)</v>
      </c>
      <c r="AA9" s="293"/>
      <c r="AB9" s="611" t="str">
        <f>'État des Résultats'!AC9</f>
        <v>Septembre 2021</v>
      </c>
      <c r="AC9" s="616" t="str">
        <f>'État des Résultats'!AD8</f>
        <v>(%)</v>
      </c>
      <c r="AD9" s="564"/>
      <c r="AE9" s="611" t="str">
        <f>'État des Résultats'!AF9</f>
        <v>Octobre 2021</v>
      </c>
      <c r="AF9" s="616" t="str">
        <f>'État des Résultats'!AG8</f>
        <v>(%)</v>
      </c>
      <c r="AG9" s="293"/>
      <c r="AH9" s="611" t="str">
        <f>'État des Résultats'!AI9</f>
        <v>Novembre 2021</v>
      </c>
      <c r="AI9" s="616" t="str">
        <f>'État des Résultats'!AJ8</f>
        <v>(%)</v>
      </c>
      <c r="AJ9" s="293"/>
      <c r="AK9" s="611" t="str">
        <f>'État des Résultats'!AL9</f>
        <v>Décembre 2021</v>
      </c>
      <c r="AL9" s="616" t="str">
        <f>'État des Résultats'!AM8</f>
        <v>(%)</v>
      </c>
      <c r="AM9" s="293"/>
      <c r="AN9" s="293"/>
      <c r="AO9" s="611" t="str">
        <f>'État des Résultats'!AP9</f>
        <v>Année</v>
      </c>
      <c r="AP9" s="616" t="str">
        <f>'État des Résultats'!AQ8</f>
        <v>(%)</v>
      </c>
      <c r="AQ9" s="331"/>
      <c r="AR9" s="331"/>
      <c r="AS9" s="331"/>
      <c r="AT9" s="331"/>
      <c r="AU9" s="331"/>
      <c r="AV9" s="331"/>
    </row>
    <row r="10" spans="2:55" ht="20" customHeight="1" thickTop="1" x14ac:dyDescent="0.15">
      <c r="B10" s="190" t="str">
        <f>'État des Résultats'!C16</f>
        <v>Coût des produits vendus</v>
      </c>
      <c r="D10" s="191"/>
      <c r="E10" s="192"/>
      <c r="G10" s="191"/>
      <c r="H10" s="192"/>
      <c r="J10" s="191"/>
      <c r="K10" s="192"/>
      <c r="M10" s="191"/>
      <c r="N10" s="192"/>
      <c r="O10" s="193"/>
      <c r="P10" s="191"/>
      <c r="Q10" s="192"/>
      <c r="S10" s="191"/>
      <c r="T10" s="192"/>
      <c r="V10" s="191"/>
      <c r="W10" s="192"/>
      <c r="Y10" s="191"/>
      <c r="Z10" s="192"/>
      <c r="AB10" s="191"/>
      <c r="AC10" s="192"/>
      <c r="AE10" s="191"/>
      <c r="AF10" s="192"/>
      <c r="AH10" s="191"/>
      <c r="AI10" s="192"/>
      <c r="AK10" s="191"/>
      <c r="AL10" s="192"/>
      <c r="AO10" s="194"/>
      <c r="AP10" s="195"/>
    </row>
    <row r="11" spans="2:55" x14ac:dyDescent="0.15">
      <c r="B11" s="201" t="str">
        <f>'État des Résultats'!C11</f>
        <v xml:space="preserve"> Nourriture</v>
      </c>
      <c r="D11" s="317">
        <f>E11*'État des Résultats'!E11</f>
        <v>6408.8160000000007</v>
      </c>
      <c r="E11" s="318">
        <v>0.2336</v>
      </c>
      <c r="F11" s="314"/>
      <c r="G11" s="317">
        <f>H11*'État des Résultats'!H11</f>
        <v>5209.7472000000007</v>
      </c>
      <c r="H11" s="192">
        <f>+E11</f>
        <v>0.2336</v>
      </c>
      <c r="J11" s="317">
        <f>K11*'État des Résultats'!K11</f>
        <v>6408.8160000000007</v>
      </c>
      <c r="K11" s="192">
        <f t="shared" ref="K11:K13" si="0">H11</f>
        <v>0.2336</v>
      </c>
      <c r="M11" s="317">
        <f>N11*'État des Résultats'!N11</f>
        <v>6822.2880000000014</v>
      </c>
      <c r="N11" s="192">
        <f t="shared" ref="N11:N13" si="1">K11</f>
        <v>0.2336</v>
      </c>
      <c r="O11" s="193"/>
      <c r="P11" s="317">
        <f>Q11*'État des Résultats'!Q11</f>
        <v>7690.5792000000019</v>
      </c>
      <c r="Q11" s="192">
        <f t="shared" ref="Q11:Q13" si="2">N11</f>
        <v>0.2336</v>
      </c>
      <c r="S11" s="317">
        <f>T11*'État des Résultats'!T11</f>
        <v>9303.1200000000026</v>
      </c>
      <c r="T11" s="192">
        <f t="shared" ref="T11:T13" si="3">Q11</f>
        <v>0.2336</v>
      </c>
      <c r="V11" s="317">
        <f>W11*'État des Résultats'!W11</f>
        <v>12817.632000000001</v>
      </c>
      <c r="W11" s="192">
        <f t="shared" ref="W11:W13" si="4">T11</f>
        <v>0.2336</v>
      </c>
      <c r="Y11" s="317">
        <f>Z11*'État des Résultats'!Z11</f>
        <v>11535.868800000002</v>
      </c>
      <c r="Z11" s="192">
        <f t="shared" ref="Z11:Z13" si="5">W11</f>
        <v>0.2336</v>
      </c>
      <c r="AB11" s="317">
        <f>AC11*'État des Résultats'!AC11</f>
        <v>7442.496000000001</v>
      </c>
      <c r="AC11" s="192">
        <f t="shared" ref="AC11:AC13" si="6">Z11</f>
        <v>0.2336</v>
      </c>
      <c r="AE11" s="317">
        <f>AF11*'État des Résultats'!AF11</f>
        <v>7049.6976000000013</v>
      </c>
      <c r="AF11" s="192">
        <f t="shared" ref="AF11:AF13" si="7">AC11</f>
        <v>0.2336</v>
      </c>
      <c r="AH11" s="317">
        <f>AI11*'État des Résultats'!AI11</f>
        <v>6202.0800000000008</v>
      </c>
      <c r="AI11" s="192">
        <f t="shared" ref="AI11:AI13" si="8">AF11</f>
        <v>0.2336</v>
      </c>
      <c r="AK11" s="317">
        <f>AL11*'État des Résultats'!AL11</f>
        <v>7690.5792000000019</v>
      </c>
      <c r="AL11" s="192">
        <f t="shared" ref="AL11:AL13" si="9">AI11</f>
        <v>0.2336</v>
      </c>
      <c r="AO11" s="319">
        <f t="shared" ref="AO11:AO13" si="10">+$AK11+$AH11+$AE11+$AB11+$Y11+$V11+$S11+$P11+$M11+$J11+$G11+$D11</f>
        <v>94581.720000000016</v>
      </c>
      <c r="AP11" s="195">
        <f>+AO11/'État des Résultats'!AP11</f>
        <v>0.2336</v>
      </c>
    </row>
    <row r="12" spans="2:55" x14ac:dyDescent="0.15">
      <c r="B12" s="201" t="str">
        <f>'État des Résultats'!C12</f>
        <v xml:space="preserve"> Boisson</v>
      </c>
      <c r="D12" s="317">
        <f>+E12*'État des Résultats'!E12</f>
        <v>4712.0595199999989</v>
      </c>
      <c r="E12" s="318">
        <v>0.47360000000000002</v>
      </c>
      <c r="G12" s="317">
        <f>+H12*'État des Résultats'!H12</f>
        <v>3830.4483839999989</v>
      </c>
      <c r="H12" s="192">
        <f t="shared" ref="H12:H13" si="11">E12</f>
        <v>0.47360000000000002</v>
      </c>
      <c r="J12" s="317">
        <f>+K12*'État des Résultats'!K12</f>
        <v>4712.0595199999989</v>
      </c>
      <c r="K12" s="192">
        <f t="shared" si="0"/>
        <v>0.47360000000000002</v>
      </c>
      <c r="M12" s="317">
        <f>+N12*'État des Résultats'!N12</f>
        <v>5016.0633599999992</v>
      </c>
      <c r="N12" s="192">
        <f t="shared" si="1"/>
        <v>0.47360000000000002</v>
      </c>
      <c r="O12" s="193"/>
      <c r="P12" s="317">
        <f>+Q12*'État des Résultats'!Q12</f>
        <v>5654.4714239999994</v>
      </c>
      <c r="Q12" s="192">
        <f t="shared" si="2"/>
        <v>0.47360000000000002</v>
      </c>
      <c r="S12" s="317">
        <f>+T12*'État des Résultats'!T12</f>
        <v>6840.0863999999992</v>
      </c>
      <c r="T12" s="192">
        <f t="shared" si="3"/>
        <v>0.47360000000000002</v>
      </c>
      <c r="V12" s="317">
        <f>+W12*'État des Résultats'!W12</f>
        <v>9424.1190399999978</v>
      </c>
      <c r="W12" s="192">
        <f t="shared" si="4"/>
        <v>0.47360000000000002</v>
      </c>
      <c r="Y12" s="317">
        <f>+Z12*'État des Résultats'!Z12</f>
        <v>8481.7071359999973</v>
      </c>
      <c r="Z12" s="192">
        <f t="shared" si="5"/>
        <v>0.47360000000000002</v>
      </c>
      <c r="AB12" s="317">
        <f>+AC12*'État des Résultats'!AC12</f>
        <v>5472.0691199999992</v>
      </c>
      <c r="AC12" s="192">
        <f t="shared" si="6"/>
        <v>0.47360000000000002</v>
      </c>
      <c r="AE12" s="317">
        <f>+AF12*'État des Résultats'!AF12</f>
        <v>5183.2654719999991</v>
      </c>
      <c r="AF12" s="192">
        <f t="shared" si="7"/>
        <v>0.47360000000000002</v>
      </c>
      <c r="AH12" s="317">
        <f>+AI12*'État des Résultats'!AI12</f>
        <v>4560.0575999999992</v>
      </c>
      <c r="AI12" s="192">
        <f t="shared" si="8"/>
        <v>0.47360000000000002</v>
      </c>
      <c r="AK12" s="317">
        <f>+AL12*'État des Résultats'!AL12</f>
        <v>5654.4714239999994</v>
      </c>
      <c r="AL12" s="192">
        <f t="shared" si="9"/>
        <v>0.47360000000000002</v>
      </c>
      <c r="AO12" s="319">
        <f t="shared" si="10"/>
        <v>69540.878399999987</v>
      </c>
      <c r="AP12" s="195">
        <f>+AO12/'État des Résultats'!AP12</f>
        <v>0.47360000000000002</v>
      </c>
    </row>
    <row r="13" spans="2:55" ht="14" thickBot="1" x14ac:dyDescent="0.2">
      <c r="B13" s="201" t="str">
        <f>'État des Résultats'!C13</f>
        <v xml:space="preserve"> Autres revenus</v>
      </c>
      <c r="D13" s="317">
        <f>+E13*'État des Résultats'!E13</f>
        <v>460.34999999999997</v>
      </c>
      <c r="E13" s="318">
        <v>0.5</v>
      </c>
      <c r="G13" s="317">
        <f>+H13*'État des Résultats'!H13</f>
        <v>374.21999999999997</v>
      </c>
      <c r="H13" s="192">
        <f t="shared" si="11"/>
        <v>0.5</v>
      </c>
      <c r="J13" s="317">
        <f>+K13*'État des Résultats'!K13</f>
        <v>460.34999999999997</v>
      </c>
      <c r="K13" s="192">
        <f t="shared" si="0"/>
        <v>0.5</v>
      </c>
      <c r="M13" s="317">
        <f>+N13*'État des Résultats'!N13</f>
        <v>490.05</v>
      </c>
      <c r="N13" s="192">
        <f t="shared" si="1"/>
        <v>0.5</v>
      </c>
      <c r="O13" s="193"/>
      <c r="P13" s="317">
        <f>+Q13*'État des Résultats'!Q13</f>
        <v>552.42000000000007</v>
      </c>
      <c r="Q13" s="192">
        <f t="shared" si="2"/>
        <v>0.5</v>
      </c>
      <c r="S13" s="317">
        <f>+T13*'État des Résultats'!T13</f>
        <v>668.25</v>
      </c>
      <c r="T13" s="192">
        <f t="shared" si="3"/>
        <v>0.5</v>
      </c>
      <c r="V13" s="317">
        <f>+W13*'État des Résultats'!W13</f>
        <v>920.69999999999993</v>
      </c>
      <c r="W13" s="192">
        <f t="shared" si="4"/>
        <v>0.5</v>
      </c>
      <c r="Y13" s="317">
        <f>+Z13*'État des Résultats'!Z13</f>
        <v>828.63</v>
      </c>
      <c r="Z13" s="192">
        <f t="shared" si="5"/>
        <v>0.5</v>
      </c>
      <c r="AB13" s="317">
        <f>+AC13*'État des Résultats'!AC13</f>
        <v>534.6</v>
      </c>
      <c r="AC13" s="192">
        <f t="shared" si="6"/>
        <v>0.5</v>
      </c>
      <c r="AE13" s="317">
        <f>+AF13*'État des Résultats'!AF13</f>
        <v>506.38499999999999</v>
      </c>
      <c r="AF13" s="192">
        <f t="shared" si="7"/>
        <v>0.5</v>
      </c>
      <c r="AH13" s="317">
        <f>+AI13*'État des Résultats'!AI13</f>
        <v>445.49999999999994</v>
      </c>
      <c r="AI13" s="192">
        <f t="shared" si="8"/>
        <v>0.5</v>
      </c>
      <c r="AK13" s="317">
        <f>+AL13*'État des Résultats'!AL13</f>
        <v>552.42000000000007</v>
      </c>
      <c r="AL13" s="192">
        <f t="shared" si="9"/>
        <v>0.5</v>
      </c>
      <c r="AO13" s="319">
        <f t="shared" si="10"/>
        <v>6793.8750000000018</v>
      </c>
      <c r="AP13" s="195">
        <f>+AO13/'État des Résultats'!AP13</f>
        <v>0.50000000000000011</v>
      </c>
    </row>
    <row r="14" spans="2:55" ht="20" customHeight="1" thickTop="1" thickBot="1" x14ac:dyDescent="0.25">
      <c r="B14" s="565" t="str">
        <f>'État des Résultats'!C16</f>
        <v>Coût des produits vendus</v>
      </c>
      <c r="C14" s="320"/>
      <c r="D14" s="566">
        <f>+SUM(D11:D13)</f>
        <v>11581.22552</v>
      </c>
      <c r="E14" s="567">
        <f>+D14/'État des Résultats'!E14</f>
        <v>0.30234121312669443</v>
      </c>
      <c r="F14" s="323"/>
      <c r="G14" s="321">
        <f>+SUM(G11:G13)</f>
        <v>9414.4155839999985</v>
      </c>
      <c r="H14" s="322">
        <f>+G14/'État des Résultats'!H14</f>
        <v>0.30234121312669437</v>
      </c>
      <c r="I14" s="324"/>
      <c r="J14" s="566">
        <f>+SUM(J11:J13)</f>
        <v>11581.22552</v>
      </c>
      <c r="K14" s="567">
        <f>+J14/'État des Résultats'!K14</f>
        <v>0.30234121312669443</v>
      </c>
      <c r="L14" s="324"/>
      <c r="M14" s="321">
        <f>+SUM(M11:M13)</f>
        <v>12328.40136</v>
      </c>
      <c r="N14" s="322">
        <f>+M14/'État des Résultats'!N14</f>
        <v>0.30234121312669443</v>
      </c>
      <c r="O14" s="323"/>
      <c r="P14" s="566">
        <f>+SUM(P11:P13)</f>
        <v>13897.470624000001</v>
      </c>
      <c r="Q14" s="567">
        <f>+P14/'État des Résultats'!Q14</f>
        <v>0.30234121312669443</v>
      </c>
      <c r="R14" s="324"/>
      <c r="S14" s="566">
        <f>+SUM(S11:S13)</f>
        <v>16811.456400000003</v>
      </c>
      <c r="T14" s="567">
        <f>+S14/'État des Résultats'!T14</f>
        <v>0.30234121312669449</v>
      </c>
      <c r="U14" s="324"/>
      <c r="V14" s="566">
        <f>+SUM(V11:V13)</f>
        <v>23162.45104</v>
      </c>
      <c r="W14" s="567">
        <f>+V14/'État des Résultats'!W14</f>
        <v>0.30234121312669443</v>
      </c>
      <c r="X14" s="324"/>
      <c r="Y14" s="566">
        <f>+SUM(Y11:Y13)</f>
        <v>20846.205936000002</v>
      </c>
      <c r="Z14" s="567">
        <f>+Y14/'État des Résultats'!Z14</f>
        <v>0.30234121312669449</v>
      </c>
      <c r="AA14" s="324"/>
      <c r="AB14" s="566">
        <f>+SUM(AB11:AB13)</f>
        <v>13449.16512</v>
      </c>
      <c r="AC14" s="567">
        <f>+AB14/'État des Résultats'!AC14</f>
        <v>0.30234121312669443</v>
      </c>
      <c r="AD14" s="324"/>
      <c r="AE14" s="566">
        <f>+SUM(AE11:AE13)</f>
        <v>12739.348072000001</v>
      </c>
      <c r="AF14" s="567">
        <f>+AE14/'État des Résultats'!AF14</f>
        <v>0.30234121312669449</v>
      </c>
      <c r="AG14" s="324"/>
      <c r="AH14" s="566">
        <f>+SUM(AH11:AH13)</f>
        <v>11207.6376</v>
      </c>
      <c r="AI14" s="567">
        <f>+AH14/'État des Résultats'!AI14</f>
        <v>0.30234121312669443</v>
      </c>
      <c r="AJ14" s="324"/>
      <c r="AK14" s="566">
        <f>+SUM(AK11:AK13)</f>
        <v>13897.470624000001</v>
      </c>
      <c r="AL14" s="567">
        <f>+AK14/'État des Résultats'!AL14</f>
        <v>0.30234121312669443</v>
      </c>
      <c r="AM14" s="324"/>
      <c r="AN14" s="324"/>
      <c r="AO14" s="568">
        <f>SUM(AO11:AO13)</f>
        <v>170916.47340000002</v>
      </c>
      <c r="AP14" s="569">
        <f>+AO14/'État des Résultats'!AP14</f>
        <v>0.30234121312669449</v>
      </c>
      <c r="AQ14" s="320"/>
      <c r="AR14" s="211"/>
      <c r="AS14" s="211"/>
      <c r="AT14" s="211"/>
      <c r="AU14" s="211"/>
      <c r="AV14" s="211"/>
    </row>
    <row r="15" spans="2:55" x14ac:dyDescent="0.15">
      <c r="B15" s="218"/>
      <c r="D15" s="325"/>
      <c r="E15" s="192"/>
      <c r="G15" s="325"/>
      <c r="H15" s="192"/>
      <c r="J15" s="325"/>
      <c r="K15" s="192"/>
      <c r="M15" s="325"/>
      <c r="N15" s="192"/>
      <c r="O15" s="193"/>
      <c r="P15" s="325"/>
      <c r="Q15" s="192"/>
      <c r="S15" s="325"/>
      <c r="T15" s="192"/>
      <c r="V15" s="325"/>
      <c r="W15" s="192"/>
      <c r="Y15" s="325"/>
      <c r="Z15" s="192"/>
      <c r="AB15" s="325"/>
      <c r="AC15" s="192"/>
      <c r="AE15" s="325"/>
      <c r="AF15" s="192"/>
      <c r="AH15" s="325"/>
      <c r="AI15" s="192"/>
      <c r="AK15" s="325"/>
      <c r="AL15" s="192"/>
      <c r="AO15" s="319"/>
      <c r="AP15" s="195"/>
    </row>
    <row r="16" spans="2:55" ht="15" customHeight="1" x14ac:dyDescent="0.15">
      <c r="B16" s="241" t="str">
        <f>'État des Résultats'!C16</f>
        <v>Coût des produits vendus</v>
      </c>
      <c r="C16" s="262"/>
      <c r="D16" s="326">
        <f>D14</f>
        <v>11581.22552</v>
      </c>
      <c r="E16" s="327">
        <f>E14</f>
        <v>0.30234121312669443</v>
      </c>
      <c r="F16" s="262"/>
      <c r="G16" s="326">
        <f>G14</f>
        <v>9414.4155839999985</v>
      </c>
      <c r="H16" s="327">
        <f>H14</f>
        <v>0.30234121312669437</v>
      </c>
      <c r="I16" s="262"/>
      <c r="J16" s="326">
        <f>J14</f>
        <v>11581.22552</v>
      </c>
      <c r="K16" s="327">
        <f>K14</f>
        <v>0.30234121312669443</v>
      </c>
      <c r="L16" s="262"/>
      <c r="M16" s="326">
        <f>M14</f>
        <v>12328.40136</v>
      </c>
      <c r="N16" s="327">
        <f>N14</f>
        <v>0.30234121312669443</v>
      </c>
      <c r="O16" s="267"/>
      <c r="P16" s="326">
        <f>P14</f>
        <v>13897.470624000001</v>
      </c>
      <c r="Q16" s="327">
        <f>Q14</f>
        <v>0.30234121312669443</v>
      </c>
      <c r="R16" s="262"/>
      <c r="S16" s="326">
        <f>S14</f>
        <v>16811.456400000003</v>
      </c>
      <c r="T16" s="327">
        <f>T14</f>
        <v>0.30234121312669449</v>
      </c>
      <c r="U16" s="262"/>
      <c r="V16" s="326">
        <f>V14</f>
        <v>23162.45104</v>
      </c>
      <c r="W16" s="327">
        <f>W14</f>
        <v>0.30234121312669443</v>
      </c>
      <c r="X16" s="262"/>
      <c r="Y16" s="326">
        <f>Y14</f>
        <v>20846.205936000002</v>
      </c>
      <c r="Z16" s="327">
        <f>Z14</f>
        <v>0.30234121312669449</v>
      </c>
      <c r="AA16" s="262"/>
      <c r="AB16" s="326">
        <f>AB14</f>
        <v>13449.16512</v>
      </c>
      <c r="AC16" s="327">
        <f>AC14</f>
        <v>0.30234121312669443</v>
      </c>
      <c r="AD16" s="262"/>
      <c r="AE16" s="326">
        <f>AE14</f>
        <v>12739.348072000001</v>
      </c>
      <c r="AF16" s="327">
        <f>AF14</f>
        <v>0.30234121312669449</v>
      </c>
      <c r="AG16" s="262"/>
      <c r="AH16" s="326">
        <f>AH14</f>
        <v>11207.6376</v>
      </c>
      <c r="AI16" s="327">
        <f>AI14</f>
        <v>0.30234121312669443</v>
      </c>
      <c r="AJ16" s="262"/>
      <c r="AK16" s="326">
        <f>AK14</f>
        <v>13897.470624000001</v>
      </c>
      <c r="AL16" s="327">
        <f>AL14</f>
        <v>0.30234121312669443</v>
      </c>
      <c r="AM16" s="262"/>
      <c r="AN16" s="262"/>
      <c r="AO16" s="328">
        <f>+$AK16+$AH16+$AE16+$AB16+$Y16+$V16+$S16+$P16+$M16+$J16+$G16+$D16</f>
        <v>170916.47340000002</v>
      </c>
      <c r="AP16" s="229">
        <f>+AO16/'État des Résultats'!AP14</f>
        <v>0.30234121312669449</v>
      </c>
    </row>
    <row r="17" spans="2:45" x14ac:dyDescent="0.15">
      <c r="B17" s="201"/>
      <c r="D17" s="325"/>
      <c r="E17" s="192"/>
      <c r="G17" s="325"/>
      <c r="H17" s="192"/>
      <c r="J17" s="325"/>
      <c r="K17" s="192"/>
      <c r="M17" s="325"/>
      <c r="N17" s="192"/>
      <c r="O17" s="193"/>
      <c r="P17" s="325"/>
      <c r="Q17" s="192"/>
      <c r="S17" s="325"/>
      <c r="T17" s="192"/>
      <c r="V17" s="325"/>
      <c r="W17" s="192"/>
      <c r="Y17" s="325"/>
      <c r="Z17" s="192"/>
      <c r="AB17" s="325"/>
      <c r="AC17" s="192"/>
      <c r="AE17" s="325"/>
      <c r="AF17" s="192"/>
      <c r="AH17" s="325"/>
      <c r="AI17" s="192"/>
      <c r="AK17" s="325"/>
      <c r="AL17" s="192"/>
      <c r="AO17" s="328"/>
      <c r="AP17" s="195"/>
    </row>
    <row r="18" spans="2:45" ht="15" customHeight="1" x14ac:dyDescent="0.15">
      <c r="B18" s="232" t="s">
        <v>193</v>
      </c>
      <c r="D18" s="325">
        <f>+SUM(D11:D12)</f>
        <v>11120.87552</v>
      </c>
      <c r="E18" s="192">
        <f>+D18/('État des Résultats'!E11+'État des Résultats'!E12)</f>
        <v>0.2974732949127244</v>
      </c>
      <c r="G18" s="325">
        <f>SUM(G11:G12)</f>
        <v>9040.1955839999991</v>
      </c>
      <c r="H18" s="192">
        <f>+G18/('État des Résultats'!H11+'État des Résultats'!H12)</f>
        <v>0.29747329491272434</v>
      </c>
      <c r="J18" s="325">
        <f>SUM(J11:J12)</f>
        <v>11120.87552</v>
      </c>
      <c r="K18" s="192">
        <f>+J18/('État des Résultats'!K11+'État des Résultats'!K12)</f>
        <v>0.2974732949127244</v>
      </c>
      <c r="M18" s="325">
        <f>SUM(M11:M12)</f>
        <v>11838.351360000001</v>
      </c>
      <c r="N18" s="192">
        <f>+M18/('État des Résultats'!N11+'État des Résultats'!N12)</f>
        <v>0.2974732949127244</v>
      </c>
      <c r="O18" s="193"/>
      <c r="P18" s="325">
        <f>SUM(P11:P12)</f>
        <v>13345.050624000001</v>
      </c>
      <c r="Q18" s="192">
        <f>+P18/('État des Résultats'!Q11+'État des Résultats'!Q12)</f>
        <v>0.2974732949127244</v>
      </c>
      <c r="S18" s="325">
        <f>SUM(S11:S12)</f>
        <v>16143.206400000003</v>
      </c>
      <c r="T18" s="192">
        <f>+S18/('État des Résultats'!T11+'État des Résultats'!T12)</f>
        <v>0.2974732949127244</v>
      </c>
      <c r="V18" s="325">
        <f>SUM(V11:V12)</f>
        <v>22241.751039999999</v>
      </c>
      <c r="W18" s="192">
        <f>+V18/('État des Résultats'!W11+'État des Résultats'!W12)</f>
        <v>0.2974732949127244</v>
      </c>
      <c r="Y18" s="325">
        <f>SUM(Y11:Y12)</f>
        <v>20017.575936000001</v>
      </c>
      <c r="Z18" s="192">
        <f>+Y18/('État des Résultats'!Z11+'État des Résultats'!Z12)</f>
        <v>0.2974732949127244</v>
      </c>
      <c r="AB18" s="325">
        <f>SUM(AB11:AB12)</f>
        <v>12914.565119999999</v>
      </c>
      <c r="AC18" s="192">
        <f>+AB18/('État des Résultats'!AC11+'État des Résultats'!AC12)</f>
        <v>0.2974732949127244</v>
      </c>
      <c r="AE18" s="325">
        <f>SUM(AE11:AE12)</f>
        <v>12232.963072</v>
      </c>
      <c r="AF18" s="192">
        <f>+AE18/('État des Résultats'!AF11+'État des Résultats'!AF12)</f>
        <v>0.2974732949127244</v>
      </c>
      <c r="AH18" s="325">
        <f>SUM(AH11:AH12)</f>
        <v>10762.1376</v>
      </c>
      <c r="AI18" s="192">
        <f>+AH18/('État des Résultats'!AI11+'État des Résultats'!AI12)</f>
        <v>0.2974732949127244</v>
      </c>
      <c r="AK18" s="325">
        <f>SUM(AK11:AK12)</f>
        <v>13345.050624000001</v>
      </c>
      <c r="AL18" s="192">
        <f>+AK18/('État des Résultats'!AL11+'État des Résultats'!AL12)</f>
        <v>0.2974732949127244</v>
      </c>
      <c r="AO18" s="328">
        <f>+$AK18+$AH18+$AE18+$AB18+$Y18+$V18+$S18+$P18+$M18+$J18+$G18+$D18</f>
        <v>164122.59840000002</v>
      </c>
      <c r="AP18" s="195">
        <f>+AO18/('État des Résultats'!AP11+'État des Résultats'!AP12)</f>
        <v>0.29747329491272445</v>
      </c>
    </row>
    <row r="19" spans="2:45" ht="15" customHeight="1" x14ac:dyDescent="0.15">
      <c r="B19" s="201" t="s">
        <v>174</v>
      </c>
      <c r="D19" s="325">
        <f>+D11</f>
        <v>6408.8160000000007</v>
      </c>
      <c r="E19" s="192">
        <f>+D19/'État des Résultats'!E11</f>
        <v>0.2336</v>
      </c>
      <c r="G19" s="325">
        <f>+G11</f>
        <v>5209.7472000000007</v>
      </c>
      <c r="H19" s="192">
        <f>+G19/'État des Résultats'!H11</f>
        <v>0.2336</v>
      </c>
      <c r="J19" s="325">
        <f>+J11</f>
        <v>6408.8160000000007</v>
      </c>
      <c r="K19" s="192">
        <f>+J19/'État des Résultats'!K11</f>
        <v>0.2336</v>
      </c>
      <c r="M19" s="325">
        <f>+M11</f>
        <v>6822.2880000000014</v>
      </c>
      <c r="N19" s="192">
        <f>+M19/'État des Résultats'!N11</f>
        <v>0.2336</v>
      </c>
      <c r="O19" s="193"/>
      <c r="P19" s="325">
        <f>+P11</f>
        <v>7690.5792000000019</v>
      </c>
      <c r="Q19" s="192">
        <f>+P19/'État des Résultats'!Q11</f>
        <v>0.2336</v>
      </c>
      <c r="S19" s="325">
        <f>+S11</f>
        <v>9303.1200000000026</v>
      </c>
      <c r="T19" s="192">
        <f>+S19/'État des Résultats'!T11</f>
        <v>0.23360000000000003</v>
      </c>
      <c r="V19" s="325">
        <f>+V11</f>
        <v>12817.632000000001</v>
      </c>
      <c r="W19" s="192">
        <f>+V19/'État des Résultats'!W11</f>
        <v>0.2336</v>
      </c>
      <c r="Y19" s="325">
        <f>+Y11</f>
        <v>11535.868800000002</v>
      </c>
      <c r="Z19" s="192">
        <f>+Y19/'État des Résultats'!Z11</f>
        <v>0.2336</v>
      </c>
      <c r="AB19" s="325">
        <f>+AB11</f>
        <v>7442.496000000001</v>
      </c>
      <c r="AC19" s="192">
        <f>+AB19/'État des Résultats'!AC11</f>
        <v>0.2336</v>
      </c>
      <c r="AE19" s="325">
        <f>+AE11</f>
        <v>7049.6976000000013</v>
      </c>
      <c r="AF19" s="192">
        <f>+AE19/'État des Résultats'!AF11</f>
        <v>0.2336</v>
      </c>
      <c r="AH19" s="325">
        <f>+AH11</f>
        <v>6202.0800000000008</v>
      </c>
      <c r="AI19" s="192">
        <f>+AH19/'État des Résultats'!AI11</f>
        <v>0.2336</v>
      </c>
      <c r="AK19" s="325">
        <f>+AK11</f>
        <v>7690.5792000000019</v>
      </c>
      <c r="AL19" s="192">
        <f>+AK19/'État des Résultats'!AL11</f>
        <v>0.2336</v>
      </c>
      <c r="AO19" s="319">
        <f>+AO11</f>
        <v>94581.720000000016</v>
      </c>
      <c r="AP19" s="195">
        <f>+AO19/'État des Résultats'!AP11</f>
        <v>0.2336</v>
      </c>
    </row>
    <row r="20" spans="2:45" ht="15" customHeight="1" x14ac:dyDescent="0.15">
      <c r="B20" s="201" t="s">
        <v>175</v>
      </c>
      <c r="C20" s="210"/>
      <c r="D20" s="325">
        <f>+D12</f>
        <v>4712.0595199999989</v>
      </c>
      <c r="E20" s="192">
        <f>D20/'État des Résultats'!E12</f>
        <v>0.47360000000000002</v>
      </c>
      <c r="G20" s="325">
        <f>+G12</f>
        <v>3830.4483839999989</v>
      </c>
      <c r="H20" s="192">
        <f>G20/'État des Résultats'!H12</f>
        <v>0.47360000000000002</v>
      </c>
      <c r="J20" s="325">
        <f>+J12</f>
        <v>4712.0595199999989</v>
      </c>
      <c r="K20" s="192">
        <f>J20/'État des Résultats'!K12</f>
        <v>0.47360000000000002</v>
      </c>
      <c r="M20" s="325">
        <f>+M12</f>
        <v>5016.0633599999992</v>
      </c>
      <c r="N20" s="192">
        <f>M20/'État des Résultats'!N12</f>
        <v>0.47359999999999997</v>
      </c>
      <c r="O20" s="193"/>
      <c r="P20" s="325">
        <f>+P12</f>
        <v>5654.4714239999994</v>
      </c>
      <c r="Q20" s="192">
        <f>P20/'État des Résultats'!Q12</f>
        <v>0.47360000000000002</v>
      </c>
      <c r="R20" s="210"/>
      <c r="S20" s="325">
        <f>+S12</f>
        <v>6840.0863999999992</v>
      </c>
      <c r="T20" s="192">
        <f>S20/'État des Résultats'!T12</f>
        <v>0.47360000000000002</v>
      </c>
      <c r="V20" s="325">
        <f>+V12</f>
        <v>9424.1190399999978</v>
      </c>
      <c r="W20" s="192">
        <f>V20/'État des Résultats'!W12</f>
        <v>0.47360000000000002</v>
      </c>
      <c r="Y20" s="325">
        <f>+Y12</f>
        <v>8481.7071359999973</v>
      </c>
      <c r="Z20" s="192">
        <f>Y20/'État des Résultats'!Z12</f>
        <v>0.47359999999999997</v>
      </c>
      <c r="AB20" s="325">
        <f>+AB12</f>
        <v>5472.0691199999992</v>
      </c>
      <c r="AC20" s="192">
        <f>AB20/'État des Résultats'!AC12</f>
        <v>0.47360000000000008</v>
      </c>
      <c r="AE20" s="325">
        <f>+AE12</f>
        <v>5183.2654719999991</v>
      </c>
      <c r="AF20" s="192">
        <f>AE20/'État des Résultats'!AF12</f>
        <v>0.47360000000000008</v>
      </c>
      <c r="AH20" s="325">
        <f>+AH12</f>
        <v>4560.0575999999992</v>
      </c>
      <c r="AI20" s="192">
        <f>AH20/'État des Résultats'!AI12</f>
        <v>0.47360000000000002</v>
      </c>
      <c r="AK20" s="325">
        <f>+AK12</f>
        <v>5654.4714239999994</v>
      </c>
      <c r="AL20" s="192">
        <f>AK20/'État des Résultats'!AL12</f>
        <v>0.47360000000000002</v>
      </c>
      <c r="AO20" s="319">
        <f>+AO12</f>
        <v>69540.878399999987</v>
      </c>
      <c r="AP20" s="195">
        <f>AO20/'État des Résultats'!AP12</f>
        <v>0.47360000000000002</v>
      </c>
    </row>
    <row r="21" spans="2:45" ht="14" thickBot="1" x14ac:dyDescent="0.2">
      <c r="B21" s="209"/>
      <c r="D21" s="329"/>
      <c r="E21" s="238"/>
      <c r="F21" s="210"/>
      <c r="G21" s="329"/>
      <c r="H21" s="238"/>
      <c r="I21" s="210"/>
      <c r="J21" s="329"/>
      <c r="K21" s="238"/>
      <c r="L21" s="210"/>
      <c r="M21" s="329"/>
      <c r="N21" s="238"/>
      <c r="O21" s="210"/>
      <c r="P21" s="329"/>
      <c r="Q21" s="238"/>
      <c r="R21" s="210"/>
      <c r="S21" s="329"/>
      <c r="T21" s="238"/>
      <c r="V21" s="329"/>
      <c r="W21" s="238"/>
      <c r="Y21" s="329"/>
      <c r="Z21" s="238"/>
      <c r="AB21" s="329"/>
      <c r="AC21" s="238"/>
      <c r="AE21" s="329"/>
      <c r="AF21" s="238"/>
      <c r="AH21" s="329"/>
      <c r="AI21" s="238"/>
      <c r="AK21" s="329"/>
      <c r="AL21" s="238"/>
      <c r="AO21" s="319"/>
      <c r="AP21" s="239"/>
    </row>
    <row r="22" spans="2:45" ht="20" customHeight="1" x14ac:dyDescent="0.15">
      <c r="B22" s="570" t="s">
        <v>194</v>
      </c>
      <c r="C22" s="330"/>
      <c r="D22" s="572">
        <f>('État des Résultats'!E14-'Coût marchandises vendues'!D14)</f>
        <v>26723.924480000001</v>
      </c>
      <c r="E22" s="573">
        <f>+D22/'État des Résultats'!E14</f>
        <v>0.69765878687330551</v>
      </c>
      <c r="F22" s="330"/>
      <c r="G22" s="572">
        <f>('État des Résultats'!H14-'Coût marchandises vendues'!G14)</f>
        <v>21723.964416000003</v>
      </c>
      <c r="H22" s="573">
        <f>+G22/'État des Résultats'!H14</f>
        <v>0.69765878687330563</v>
      </c>
      <c r="I22" s="330"/>
      <c r="J22" s="572">
        <f>('État des Résultats'!K14-'Coût marchandises vendues'!J14)</f>
        <v>26723.924480000001</v>
      </c>
      <c r="K22" s="573">
        <f>+J22/'État des Résultats'!K14</f>
        <v>0.69765878687330551</v>
      </c>
      <c r="L22" s="330"/>
      <c r="M22" s="572">
        <f>('État des Résultats'!N14-'Coût marchandises vendues'!M14)</f>
        <v>28448.048640000005</v>
      </c>
      <c r="N22" s="573">
        <f>+M22/'État des Résultats'!N14</f>
        <v>0.69765878687330563</v>
      </c>
      <c r="O22" s="330"/>
      <c r="P22" s="572">
        <f>('État des Résultats'!Q14-'Coût marchandises vendues'!P14)</f>
        <v>32068.709376000006</v>
      </c>
      <c r="Q22" s="573">
        <f>+P22/'État des Résultats'!Q14</f>
        <v>0.69765878687330551</v>
      </c>
      <c r="R22" s="330"/>
      <c r="S22" s="572">
        <f>('État des Résultats'!T14-'Coût marchandises vendues'!S14)</f>
        <v>38792.793600000005</v>
      </c>
      <c r="T22" s="573">
        <f>+S22/'État des Résultats'!T14</f>
        <v>0.69765878687330551</v>
      </c>
      <c r="U22" s="252"/>
      <c r="V22" s="572">
        <f>('État des Résultats'!W14-'Coût marchandises vendues'!V14)</f>
        <v>53447.848960000003</v>
      </c>
      <c r="W22" s="573">
        <f>+V22/'État des Résultats'!W14</f>
        <v>0.69765878687330551</v>
      </c>
      <c r="X22" s="330"/>
      <c r="Y22" s="572">
        <f>('État des Résultats'!Z14-'Coût marchandises vendues'!Y14)</f>
        <v>48103.064064000006</v>
      </c>
      <c r="Z22" s="573">
        <f>+Y22/'État des Résultats'!Z14</f>
        <v>0.69765878687330563</v>
      </c>
      <c r="AA22" s="330"/>
      <c r="AB22" s="572">
        <f>('État des Résultats'!AC14-'Coût marchandises vendues'!AB14)</f>
        <v>31034.234880000004</v>
      </c>
      <c r="AC22" s="573">
        <f>+AB22/'État des Résultats'!AC14</f>
        <v>0.69765878687330563</v>
      </c>
      <c r="AD22" s="252"/>
      <c r="AE22" s="572">
        <f>('État des Résultats'!AF14-'Coût marchandises vendues'!AE14)</f>
        <v>29396.316928</v>
      </c>
      <c r="AF22" s="573">
        <f>+AE22/'État des Résultats'!AF14</f>
        <v>0.69765878687330551</v>
      </c>
      <c r="AG22" s="252"/>
      <c r="AH22" s="572">
        <f>('État des Résultats'!AI14-'Coût marchandises vendues'!AH14)</f>
        <v>25861.862399999998</v>
      </c>
      <c r="AI22" s="573">
        <f>+AH22/'État des Résultats'!AI14</f>
        <v>0.69765878687330551</v>
      </c>
      <c r="AJ22" s="252"/>
      <c r="AK22" s="572">
        <f>('État des Résultats'!AL14-'Coût marchandises vendues'!AK14)</f>
        <v>32068.709376000006</v>
      </c>
      <c r="AL22" s="573">
        <f>+AK22/'État des Résultats'!AL14</f>
        <v>0.69765878687330551</v>
      </c>
      <c r="AM22" s="252"/>
      <c r="AN22" s="252"/>
      <c r="AO22" s="572">
        <f>('État des Résultats'!AP14-'Coût marchandises vendues'!AO14)</f>
        <v>394393.40159999998</v>
      </c>
      <c r="AP22" s="573">
        <f>+AO22/'État des Résultats'!AP14</f>
        <v>0.69765878687330551</v>
      </c>
      <c r="AR22" s="314" t="s">
        <v>2</v>
      </c>
    </row>
    <row r="23" spans="2:45" ht="14" thickBot="1" x14ac:dyDescent="0.2">
      <c r="B23" s="571"/>
      <c r="C23" s="210"/>
      <c r="D23" s="574"/>
      <c r="E23" s="575"/>
      <c r="F23" s="210"/>
      <c r="G23" s="574"/>
      <c r="H23" s="575"/>
      <c r="I23" s="210"/>
      <c r="J23" s="576"/>
      <c r="K23" s="575"/>
      <c r="L23" s="210"/>
      <c r="M23" s="574"/>
      <c r="N23" s="575"/>
      <c r="O23" s="210"/>
      <c r="P23" s="574"/>
      <c r="Q23" s="575"/>
      <c r="R23" s="210"/>
      <c r="S23" s="574"/>
      <c r="T23" s="575"/>
      <c r="U23" s="210"/>
      <c r="V23" s="576"/>
      <c r="W23" s="575"/>
      <c r="X23" s="210"/>
      <c r="Y23" s="574"/>
      <c r="Z23" s="575"/>
      <c r="AA23" s="210"/>
      <c r="AB23" s="574"/>
      <c r="AC23" s="575"/>
      <c r="AD23" s="210"/>
      <c r="AE23" s="574"/>
      <c r="AF23" s="575"/>
      <c r="AG23" s="210"/>
      <c r="AH23" s="574"/>
      <c r="AI23" s="575"/>
      <c r="AJ23" s="210"/>
      <c r="AK23" s="574"/>
      <c r="AL23" s="575"/>
      <c r="AO23" s="574"/>
      <c r="AP23" s="575"/>
    </row>
    <row r="24" spans="2:45" ht="14" thickTop="1" x14ac:dyDescent="0.15">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s="332"/>
    </row>
    <row r="25" spans="2:45" x14ac:dyDescent="0.1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s="332"/>
    </row>
    <row r="26" spans="2:45" x14ac:dyDescent="0.15">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s="332"/>
    </row>
    <row r="27" spans="2:45" x14ac:dyDescent="0.1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s="332"/>
    </row>
    <row r="28" spans="2:45" x14ac:dyDescent="0.1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s="332"/>
    </row>
    <row r="29" spans="2:45" x14ac:dyDescent="0.1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s="332"/>
    </row>
    <row r="30" spans="2:45" x14ac:dyDescent="0.1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s="332"/>
    </row>
    <row r="31" spans="2:45" x14ac:dyDescent="0.1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s="332"/>
    </row>
    <row r="32" spans="2:45" x14ac:dyDescent="0.15">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s="332"/>
    </row>
    <row r="33" spans="2:45" x14ac:dyDescent="0.15">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s="332"/>
    </row>
    <row r="34" spans="2:45" x14ac:dyDescent="0.15">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s="332"/>
    </row>
    <row r="35" spans="2:45" x14ac:dyDescent="0.1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s="332"/>
    </row>
    <row r="36" spans="2:45" x14ac:dyDescent="0.15">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s="332"/>
    </row>
    <row r="37" spans="2:45" x14ac:dyDescent="0.1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s="332"/>
    </row>
    <row r="38" spans="2:45" x14ac:dyDescent="0.15">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s="332"/>
    </row>
    <row r="39" spans="2:45" x14ac:dyDescent="0.15">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s="332"/>
    </row>
    <row r="40" spans="2:45" x14ac:dyDescent="0.15">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s="332"/>
    </row>
    <row r="41" spans="2:45" x14ac:dyDescent="0.15">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s="332"/>
    </row>
    <row r="42" spans="2:45" x14ac:dyDescent="0.15">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s="332"/>
    </row>
    <row r="43" spans="2:45" x14ac:dyDescent="0.15">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s="332"/>
    </row>
    <row r="44" spans="2:45" x14ac:dyDescent="0.15">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s="332"/>
    </row>
    <row r="45" spans="2:45" x14ac:dyDescent="0.1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s="332"/>
    </row>
    <row r="46" spans="2:45" x14ac:dyDescent="0.1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s="332"/>
    </row>
    <row r="47" spans="2:45" x14ac:dyDescent="0.15">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s="332"/>
    </row>
    <row r="48" spans="2:45" x14ac:dyDescent="0.15">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s="332"/>
    </row>
    <row r="49" spans="2:45" x14ac:dyDescent="0.15">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s="332"/>
    </row>
    <row r="50" spans="2:45" x14ac:dyDescent="0.1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s="332"/>
    </row>
    <row r="51" spans="2:45" x14ac:dyDescent="0.1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s="332"/>
    </row>
    <row r="52" spans="2:45" x14ac:dyDescent="0.1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s="332"/>
    </row>
    <row r="53" spans="2:45" x14ac:dyDescent="0.1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s="332"/>
    </row>
    <row r="54" spans="2:45" x14ac:dyDescent="0.1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s="332"/>
    </row>
    <row r="55" spans="2:45" x14ac:dyDescent="0.1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s="332"/>
    </row>
    <row r="56" spans="2:45" x14ac:dyDescent="0.15">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s="332"/>
    </row>
    <row r="57" spans="2:45" x14ac:dyDescent="0.15">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s="332"/>
    </row>
    <row r="58" spans="2:45" x14ac:dyDescent="0.15">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s="332"/>
    </row>
    <row r="59" spans="2:45" x14ac:dyDescent="0.1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s="332"/>
    </row>
    <row r="60" spans="2:45" x14ac:dyDescent="0.15">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s="332"/>
    </row>
    <row r="61" spans="2:45" x14ac:dyDescent="0.1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s="332"/>
    </row>
    <row r="62" spans="2:45" x14ac:dyDescent="0.1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s="332"/>
    </row>
    <row r="63" spans="2:45" x14ac:dyDescent="0.1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s="332"/>
    </row>
    <row r="64" spans="2:45"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s="332"/>
    </row>
    <row r="65" spans="2:45" x14ac:dyDescent="0.1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s="332"/>
    </row>
    <row r="66" spans="2:45" x14ac:dyDescent="0.15">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s="332"/>
    </row>
    <row r="67" spans="2:45" x14ac:dyDescent="0.15">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s="332"/>
    </row>
    <row r="68" spans="2:45" x14ac:dyDescent="0.15">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row>
    <row r="69" spans="2:45" x14ac:dyDescent="0.15">
      <c r="C69" s="210"/>
      <c r="F69" s="210"/>
      <c r="I69" s="210"/>
      <c r="L69" s="210"/>
      <c r="O69" s="210"/>
      <c r="R69" s="210"/>
      <c r="U69" s="210"/>
      <c r="X69" s="210"/>
      <c r="AA69" s="210"/>
      <c r="AD69" s="210"/>
      <c r="AJ69" s="210"/>
    </row>
    <row r="70" spans="2:45" x14ac:dyDescent="0.15">
      <c r="C70" s="210"/>
      <c r="F70" s="210"/>
      <c r="I70" s="210"/>
      <c r="L70" s="210"/>
      <c r="O70" s="210"/>
      <c r="U70" s="210"/>
      <c r="X70" s="210"/>
      <c r="AD70" s="210"/>
      <c r="AJ70" s="210"/>
    </row>
    <row r="71" spans="2:45" x14ac:dyDescent="0.15">
      <c r="C71" s="210"/>
      <c r="F71" s="210"/>
      <c r="I71" s="210"/>
      <c r="L71" s="210"/>
      <c r="O71" s="210"/>
      <c r="U71" s="210"/>
      <c r="X71" s="210"/>
      <c r="AD71" s="210"/>
    </row>
    <row r="72" spans="2:45" x14ac:dyDescent="0.15">
      <c r="C72" s="210"/>
      <c r="F72" s="210"/>
      <c r="I72" s="210"/>
      <c r="L72" s="210"/>
      <c r="O72" s="210"/>
      <c r="U72" s="210"/>
      <c r="AD72" s="210"/>
    </row>
    <row r="73" spans="2:45" x14ac:dyDescent="0.15">
      <c r="C73" s="210"/>
      <c r="F73" s="210"/>
      <c r="I73" s="210"/>
      <c r="L73" s="210"/>
      <c r="O73" s="210"/>
      <c r="U73" s="210"/>
      <c r="AD73" s="210"/>
    </row>
    <row r="74" spans="2:45" x14ac:dyDescent="0.15">
      <c r="C74" s="210"/>
      <c r="F74" s="210"/>
      <c r="I74" s="210"/>
      <c r="L74" s="210"/>
      <c r="O74" s="210"/>
      <c r="U74" s="210"/>
      <c r="AD74" s="210"/>
    </row>
    <row r="75" spans="2:45" x14ac:dyDescent="0.15">
      <c r="C75" s="210"/>
      <c r="F75" s="210"/>
      <c r="I75" s="210"/>
      <c r="L75" s="210"/>
      <c r="O75" s="210"/>
      <c r="U75" s="210"/>
      <c r="AD75" s="210"/>
    </row>
    <row r="76" spans="2:45" x14ac:dyDescent="0.15">
      <c r="C76" s="210"/>
      <c r="F76" s="210"/>
      <c r="I76" s="210"/>
      <c r="O76" s="210"/>
      <c r="U76" s="210"/>
      <c r="AD76" s="210"/>
    </row>
    <row r="77" spans="2:45" x14ac:dyDescent="0.15">
      <c r="C77" s="210"/>
      <c r="F77" s="210"/>
      <c r="I77" s="210"/>
      <c r="O77" s="210"/>
      <c r="U77" s="210"/>
      <c r="AD77" s="210"/>
    </row>
    <row r="78" spans="2:45" x14ac:dyDescent="0.15">
      <c r="C78" s="210"/>
      <c r="F78" s="210"/>
      <c r="I78" s="210"/>
      <c r="O78" s="210"/>
      <c r="U78" s="210"/>
      <c r="AD78" s="210"/>
    </row>
    <row r="79" spans="2:45" x14ac:dyDescent="0.15">
      <c r="C79" s="210"/>
      <c r="F79" s="210"/>
      <c r="O79" s="210"/>
      <c r="U79" s="210"/>
      <c r="AD79" s="210"/>
    </row>
    <row r="80" spans="2:45" x14ac:dyDescent="0.15">
      <c r="C80" s="210"/>
      <c r="O80" s="210"/>
      <c r="AD80" s="210"/>
    </row>
    <row r="81" spans="3:15" x14ac:dyDescent="0.15">
      <c r="C81" s="210"/>
      <c r="O81" s="210"/>
    </row>
    <row r="82" spans="3:15" x14ac:dyDescent="0.15">
      <c r="C82" s="210"/>
      <c r="O82" s="210"/>
    </row>
  </sheetData>
  <sheetProtection algorithmName="SHA-512" hashValue="BJjqu88GPx1df4OFHCXCJwPvJlR1aH6eKI4YxWeFUxYwbwIx/MF+6pT6Ctrl/o5PssoOWGw132Z1Hih1/eJLSA==" saltValue="C0+ETqJTTfQxGfqgoIdPZA==" spinCount="100000" sheet="1" objects="1" scenarios="1"/>
  <mergeCells count="2">
    <mergeCell ref="AS2:AS8"/>
    <mergeCell ref="BC2:BC8"/>
  </mergeCells>
  <pageMargins left="0.75000000000000011" right="0.75000000000000011" top="1" bottom="1" header="0.49" footer="0.49"/>
  <pageSetup paperSize="5" orientation="landscape"/>
  <headerFooter>
    <oddFooter>&amp;C&amp;K000000Budget et indicateurs de performance (430-763-Me)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E9742-3322-5B4A-9033-FA3B994BFAB2}">
  <sheetPr>
    <tabColor theme="1"/>
    <pageSetUpPr fitToPage="1"/>
  </sheetPr>
  <dimension ref="B1:BQ42"/>
  <sheetViews>
    <sheetView zoomScale="125" zoomScaleNormal="125" zoomScalePageLayoutView="125" workbookViewId="0">
      <pane xSplit="3" ySplit="9" topLeftCell="D10" activePane="bottomRight" state="frozen"/>
      <selection pane="topRight" activeCell="D1" sqref="D1"/>
      <selection pane="bottomLeft" activeCell="A11" sqref="A11"/>
      <selection pane="bottomRight" activeCell="E6" sqref="E6"/>
    </sheetView>
  </sheetViews>
  <sheetFormatPr baseColWidth="10" defaultRowHeight="13" x14ac:dyDescent="0.15"/>
  <cols>
    <col min="1" max="1" width="1.83203125" style="161" customWidth="1"/>
    <col min="2" max="2" width="10.83203125" style="161" customWidth="1"/>
    <col min="3" max="3" width="57.6640625" style="161" customWidth="1"/>
    <col min="4" max="4" width="0.83203125" style="161" customWidth="1"/>
    <col min="5" max="5" width="15.6640625" style="161" bestFit="1" customWidth="1"/>
    <col min="6" max="6" width="8.33203125" style="161" customWidth="1"/>
    <col min="7" max="7" width="0.83203125" style="161" customWidth="1"/>
    <col min="8" max="8" width="15.6640625" style="161" bestFit="1" customWidth="1"/>
    <col min="9" max="9" width="8.1640625" style="161" customWidth="1"/>
    <col min="10" max="10" width="0.83203125" style="161" customWidth="1"/>
    <col min="11" max="11" width="15.6640625" style="161" bestFit="1" customWidth="1"/>
    <col min="12" max="12" width="8.1640625" style="161" bestFit="1" customWidth="1"/>
    <col min="13" max="13" width="0.83203125" style="161" customWidth="1"/>
    <col min="14" max="14" width="15.6640625" style="161" bestFit="1" customWidth="1"/>
    <col min="15" max="15" width="8.1640625" style="161" bestFit="1" customWidth="1"/>
    <col min="16" max="16" width="0.83203125" style="161" customWidth="1"/>
    <col min="17" max="17" width="14.6640625" style="161" bestFit="1" customWidth="1"/>
    <col min="18" max="18" width="8.1640625" style="161" bestFit="1" customWidth="1"/>
    <col min="19" max="19" width="0.83203125" style="161" customWidth="1"/>
    <col min="20" max="20" width="15.6640625" style="161" bestFit="1" customWidth="1"/>
    <col min="21" max="21" width="8.1640625" style="161" bestFit="1" customWidth="1"/>
    <col min="22" max="22" width="0.83203125" style="161" customWidth="1"/>
    <col min="23" max="23" width="15.6640625" style="161" bestFit="1" customWidth="1"/>
    <col min="24" max="24" width="8.1640625" style="161" bestFit="1" customWidth="1"/>
    <col min="25" max="25" width="0.83203125" style="161" customWidth="1"/>
    <col min="26" max="26" width="15.6640625" style="161" bestFit="1" customWidth="1"/>
    <col min="27" max="27" width="8.1640625" style="161" bestFit="1" customWidth="1"/>
    <col min="28" max="28" width="0.83203125" style="161" customWidth="1"/>
    <col min="29" max="29" width="15.6640625" style="161" bestFit="1" customWidth="1"/>
    <col min="30" max="30" width="8.1640625" style="161" bestFit="1" customWidth="1"/>
    <col min="31" max="31" width="0.83203125" style="161" customWidth="1"/>
    <col min="32" max="32" width="15.6640625" style="161" bestFit="1" customWidth="1"/>
    <col min="33" max="33" width="8.1640625" style="161" bestFit="1" customWidth="1"/>
    <col min="34" max="34" width="0.83203125" style="161" customWidth="1"/>
    <col min="35" max="35" width="15.6640625" style="161" bestFit="1" customWidth="1"/>
    <col min="36" max="36" width="8.1640625" style="161" bestFit="1" customWidth="1"/>
    <col min="37" max="37" width="0.83203125" style="161" customWidth="1"/>
    <col min="38" max="38" width="15.6640625" style="161" bestFit="1" customWidth="1"/>
    <col min="39" max="39" width="8.1640625" style="161" bestFit="1" customWidth="1"/>
    <col min="40" max="41" width="0.83203125" style="161" customWidth="1"/>
    <col min="42" max="42" width="15.6640625" style="161" bestFit="1" customWidth="1"/>
    <col min="43" max="43" width="8.1640625" style="161" customWidth="1"/>
    <col min="44" max="44" width="3.1640625" style="161" customWidth="1"/>
    <col min="45" max="45" width="8.5" style="161" bestFit="1" customWidth="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910" t="str">
        <f>'État des Résultats'!C2</f>
        <v xml:space="preserve">Entreprise de restauration alimentaire 12 inc. </v>
      </c>
      <c r="C2" s="911"/>
      <c r="AS2" s="898" t="s">
        <v>42</v>
      </c>
      <c r="AT2" s="369"/>
      <c r="AU2" s="369"/>
      <c r="AV2" s="369"/>
      <c r="AW2" s="369"/>
      <c r="AX2" s="369"/>
      <c r="AY2" s="369"/>
      <c r="AZ2" s="369"/>
      <c r="BA2" s="369"/>
      <c r="BB2" s="369"/>
      <c r="BC2" s="901" t="s">
        <v>43</v>
      </c>
    </row>
    <row r="3" spans="2:55" ht="20" customHeight="1" x14ac:dyDescent="0.2">
      <c r="B3" s="912" t="str">
        <f>'État des Résultats'!C3</f>
        <v xml:space="preserve">États des résultats prévisionnels </v>
      </c>
      <c r="C3" s="913"/>
      <c r="AS3" s="899"/>
      <c r="AT3" s="370"/>
      <c r="AU3" s="370"/>
      <c r="AV3" s="370"/>
      <c r="AW3" s="370"/>
      <c r="AX3" s="370"/>
      <c r="AY3" s="370"/>
      <c r="AZ3" s="370"/>
      <c r="BA3" s="370"/>
      <c r="BB3" s="370"/>
      <c r="BC3" s="902"/>
    </row>
    <row r="4" spans="2:55" ht="20" customHeight="1" thickBot="1" x14ac:dyDescent="0.3">
      <c r="B4" s="914" t="str">
        <f>'État des Résultats'!C4</f>
        <v>Pour la période du 1er janvier 2021 au 31 décembre 2021</v>
      </c>
      <c r="C4" s="91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5" ht="21" thickTop="1" thickBot="1" x14ac:dyDescent="0.3">
      <c r="AS5" s="899"/>
      <c r="AT5" s="372" t="s">
        <v>2</v>
      </c>
      <c r="AU5" s="373"/>
      <c r="AV5" s="372"/>
      <c r="AW5" s="373"/>
      <c r="AX5" s="373"/>
      <c r="AY5" s="373"/>
      <c r="AZ5" s="373"/>
      <c r="BA5" s="373"/>
      <c r="BB5" s="373"/>
      <c r="BC5" s="902"/>
    </row>
    <row r="6" spans="2:55" ht="27" thickTop="1" x14ac:dyDescent="0.3">
      <c r="B6" s="916" t="str">
        <f>'État des Résultats'!C6</f>
        <v>Nb de places</v>
      </c>
      <c r="C6" s="917"/>
      <c r="E6" s="632" t="str">
        <f>'Coût marchandises vendues'!D6</f>
        <v>Coût / place / jour</v>
      </c>
      <c r="F6" s="578">
        <f>E38/$B$7/'Calendrier 2021'!D8</f>
        <v>8.4118141935483859</v>
      </c>
      <c r="G6" s="170"/>
      <c r="H6" s="632" t="str">
        <f>+E6</f>
        <v>Coût / place / jour</v>
      </c>
      <c r="I6" s="578">
        <f>H38/$B$7/'Calendrier 2021'!E8</f>
        <v>12.909325714285714</v>
      </c>
      <c r="J6" s="170"/>
      <c r="K6" s="632" t="str">
        <f>+H6</f>
        <v>Coût / place / jour</v>
      </c>
      <c r="L6" s="578">
        <f>K38/$B$7/'Calendrier 2021'!F8</f>
        <v>8.3948387096774191</v>
      </c>
      <c r="M6" s="170"/>
      <c r="N6" s="632" t="str">
        <f>+K6</f>
        <v>Coût / place / jour</v>
      </c>
      <c r="O6" s="578">
        <f>N38/$B$7/'Calendrier 2021'!G8</f>
        <v>8.674666666666667</v>
      </c>
      <c r="P6" s="436"/>
      <c r="Q6" s="435" t="str">
        <f>+N6</f>
        <v>Coût / place / jour</v>
      </c>
      <c r="R6" s="578">
        <f>Q38/$B$7/'Calendrier 2021'!H8</f>
        <v>8.3948387096774191</v>
      </c>
      <c r="S6" s="436"/>
      <c r="T6" s="632" t="str">
        <f>+Q6</f>
        <v>Coût / place / jour</v>
      </c>
      <c r="U6" s="578">
        <f>T38/$B$7/'Calendrier 2021'!I8</f>
        <v>8.674666666666667</v>
      </c>
      <c r="V6" s="170"/>
      <c r="W6" s="632" t="str">
        <f>+T6</f>
        <v>Coût / place / jour</v>
      </c>
      <c r="X6" s="578">
        <f>W38/$B$7/'Calendrier 2021'!J8</f>
        <v>8.3948387096774191</v>
      </c>
      <c r="Y6" s="641"/>
      <c r="Z6" s="632" t="str">
        <f>+W6</f>
        <v>Coût / place / jour</v>
      </c>
      <c r="AA6" s="578">
        <f>Z38/$B$7/'Calendrier 2021'!K8</f>
        <v>8.3948387096774191</v>
      </c>
      <c r="AB6" s="170"/>
      <c r="AC6" s="632" t="str">
        <f>+Z6</f>
        <v>Coût / place / jour</v>
      </c>
      <c r="AD6" s="578">
        <f>AC38/$B$7/'Calendrier 2021'!L8</f>
        <v>8.674666666666667</v>
      </c>
      <c r="AE6" s="170"/>
      <c r="AF6" s="632" t="str">
        <f>+AC6</f>
        <v>Coût / place / jour</v>
      </c>
      <c r="AG6" s="578">
        <f>AF38/$B$7/'Calendrier 2021'!M8</f>
        <v>8.3948387096774191</v>
      </c>
      <c r="AH6" s="170"/>
      <c r="AI6" s="632" t="str">
        <f>+AF6</f>
        <v>Coût / place / jour</v>
      </c>
      <c r="AJ6" s="578">
        <f>AI38/$B$7/'Calendrier 2021'!N8</f>
        <v>8.674666666666667</v>
      </c>
      <c r="AK6" s="437"/>
      <c r="AL6" s="632" t="str">
        <f>+AI6</f>
        <v>Coût / place / jour</v>
      </c>
      <c r="AM6" s="578">
        <f>AL38/$B$7/'Calendrier 2021'!O8</f>
        <v>8.3948387096774191</v>
      </c>
      <c r="AN6" s="170"/>
      <c r="AO6" s="170"/>
      <c r="AP6" s="577" t="str">
        <f>+AL6</f>
        <v>Coût / place / jour</v>
      </c>
      <c r="AQ6" s="578">
        <f>AP38/$B$7/'% Occupation'!P8</f>
        <v>8.8345955068493165</v>
      </c>
      <c r="AS6" s="899"/>
      <c r="AT6" s="374" t="str">
        <f>'Formule pour le calcul D'!BA105</f>
        <v xml:space="preserve">C </v>
      </c>
      <c r="AU6" s="375"/>
      <c r="AV6" s="374" t="str">
        <f>'Formule pour le calcul D'!BC105</f>
        <v>A</v>
      </c>
      <c r="AW6" s="375"/>
      <c r="AX6" s="375"/>
      <c r="AY6" s="374" t="str">
        <f>AY4</f>
        <v>Um/A</v>
      </c>
      <c r="AZ6" s="375"/>
      <c r="BA6" s="374" t="str">
        <f>BA4</f>
        <v>CmO</v>
      </c>
      <c r="BB6" s="375"/>
      <c r="BC6" s="902"/>
    </row>
    <row r="7" spans="2:55" ht="21" x14ac:dyDescent="0.25">
      <c r="B7" s="918">
        <f>'État des Résultats'!C7</f>
        <v>50</v>
      </c>
      <c r="C7" s="919"/>
      <c r="E7" s="633">
        <f>+E38/$AP$38</f>
        <v>8.0867092810376698E-2</v>
      </c>
      <c r="F7" s="634"/>
      <c r="G7" s="385"/>
      <c r="H7" s="633">
        <f>+H38/$AP$38</f>
        <v>0.11209391959013831</v>
      </c>
      <c r="I7" s="634"/>
      <c r="J7" s="385"/>
      <c r="K7" s="633">
        <f>+K38/$AP$38</f>
        <v>8.0703898759948489E-2</v>
      </c>
      <c r="L7" s="634"/>
      <c r="M7" s="385"/>
      <c r="N7" s="633">
        <f>+N38/$AP$38</f>
        <v>8.0703898759948489E-2</v>
      </c>
      <c r="O7" s="634"/>
      <c r="P7" s="440"/>
      <c r="Q7" s="438">
        <f>+Q38/$AP$38</f>
        <v>8.0703898759948489E-2</v>
      </c>
      <c r="R7" s="439"/>
      <c r="S7" s="440"/>
      <c r="T7" s="633">
        <f>+T38/$AP$38</f>
        <v>8.0703898759948489E-2</v>
      </c>
      <c r="U7" s="634"/>
      <c r="V7" s="385"/>
      <c r="W7" s="633">
        <f>+W38/$AP$38</f>
        <v>8.0703898759948489E-2</v>
      </c>
      <c r="X7" s="634"/>
      <c r="Y7" s="642"/>
      <c r="Z7" s="633">
        <f>+Z38/$AP$38</f>
        <v>8.0703898759948489E-2</v>
      </c>
      <c r="AA7" s="634"/>
      <c r="AB7" s="385"/>
      <c r="AC7" s="633">
        <f>+AC38/$AP$38</f>
        <v>8.0703898759948489E-2</v>
      </c>
      <c r="AD7" s="634"/>
      <c r="AE7" s="385"/>
      <c r="AF7" s="633">
        <f>+AF38/$AP$38</f>
        <v>8.0703898759948489E-2</v>
      </c>
      <c r="AG7" s="634"/>
      <c r="AH7" s="385"/>
      <c r="AI7" s="633">
        <f>+AI38/$AP$38</f>
        <v>8.0703898759948489E-2</v>
      </c>
      <c r="AJ7" s="634"/>
      <c r="AK7" s="424"/>
      <c r="AL7" s="633">
        <f>+AL38/$AP$38</f>
        <v>8.0703898759948489E-2</v>
      </c>
      <c r="AM7" s="634"/>
      <c r="AN7" s="441">
        <f>+AN38/$AP$38</f>
        <v>0</v>
      </c>
      <c r="AO7" s="385"/>
      <c r="AP7" s="625">
        <f t="shared" ref="AP7" si="0">SUM(+$AL7+$AI7+$AF7+$AC7+$Z7+$W7+$T7+$Q7+$N7+$K7+$H7+$E7)</f>
        <v>0.99999999999999978</v>
      </c>
      <c r="AQ7" s="644"/>
      <c r="AS7" s="899"/>
      <c r="AT7" s="684">
        <f>AP38</f>
        <v>161231.36800000002</v>
      </c>
      <c r="AU7" s="371" t="s">
        <v>44</v>
      </c>
      <c r="AV7" s="685">
        <f>'Formule pour le calcul D'!G106</f>
        <v>22875</v>
      </c>
      <c r="AW7" s="371" t="s">
        <v>45</v>
      </c>
      <c r="AX7" s="371" t="s">
        <v>46</v>
      </c>
      <c r="AY7" s="686">
        <f>'Formule pour le calcul D'!J106</f>
        <v>2.2200000000000002</v>
      </c>
      <c r="AZ7" s="371" t="s">
        <v>45</v>
      </c>
      <c r="BA7" s="687">
        <f>AT7/AV7/AY7</f>
        <v>3.174939555949392</v>
      </c>
      <c r="BB7" s="371" t="s">
        <v>49</v>
      </c>
      <c r="BC7" s="902"/>
    </row>
    <row r="8" spans="2:55" ht="17" thickBot="1" x14ac:dyDescent="0.25">
      <c r="B8" s="920" t="s">
        <v>198</v>
      </c>
      <c r="C8" s="921"/>
      <c r="E8" s="635" t="str">
        <f>'État des Résultats'!E8</f>
        <v>Pér.01</v>
      </c>
      <c r="F8" s="636" t="str">
        <f>'État des Résultats'!F8</f>
        <v>(%)</v>
      </c>
      <c r="G8" s="188"/>
      <c r="H8" s="635" t="str">
        <f>'État des Résultats'!H8</f>
        <v>Pér.02</v>
      </c>
      <c r="I8" s="636" t="str">
        <f>F8</f>
        <v>(%)</v>
      </c>
      <c r="J8" s="188"/>
      <c r="K8" s="635" t="str">
        <f>'État des Résultats'!K8</f>
        <v>Pér.03</v>
      </c>
      <c r="L8" s="636" t="str">
        <f>I8</f>
        <v>(%)</v>
      </c>
      <c r="M8" s="188"/>
      <c r="N8" s="635" t="str">
        <f>'État des Résultats'!N8</f>
        <v>Pér.04</v>
      </c>
      <c r="O8" s="636" t="str">
        <f>L8</f>
        <v>(%)</v>
      </c>
      <c r="P8" s="443"/>
      <c r="Q8" s="442" t="str">
        <f>'État des Résultats'!Q8</f>
        <v>Pér.05</v>
      </c>
      <c r="R8" s="388" t="str">
        <f>O8</f>
        <v>(%)</v>
      </c>
      <c r="S8" s="443"/>
      <c r="T8" s="635" t="str">
        <f>'État des Résultats'!T8</f>
        <v>Pér.06</v>
      </c>
      <c r="U8" s="636" t="str">
        <f>R8</f>
        <v>(%)</v>
      </c>
      <c r="V8" s="188"/>
      <c r="W8" s="635" t="str">
        <f>'État des Résultats'!W8</f>
        <v>Pér.07</v>
      </c>
      <c r="X8" s="636" t="str">
        <f>U8</f>
        <v>(%)</v>
      </c>
      <c r="Y8" s="643"/>
      <c r="Z8" s="635" t="str">
        <f>'État des Résultats'!Z8</f>
        <v>Pér.08</v>
      </c>
      <c r="AA8" s="636" t="str">
        <f>X8</f>
        <v>(%)</v>
      </c>
      <c r="AB8" s="188"/>
      <c r="AC8" s="635" t="str">
        <f>'État des Résultats'!AC8</f>
        <v>Pér.09</v>
      </c>
      <c r="AD8" s="636" t="str">
        <f>AA8</f>
        <v>(%)</v>
      </c>
      <c r="AE8" s="188"/>
      <c r="AF8" s="635" t="str">
        <f>'État des Résultats'!AF8</f>
        <v>Pér.10</v>
      </c>
      <c r="AG8" s="636" t="str">
        <f>AD8</f>
        <v>(%)</v>
      </c>
      <c r="AH8" s="188"/>
      <c r="AI8" s="635" t="str">
        <f>'État des Résultats'!AI8</f>
        <v>Pér.11</v>
      </c>
      <c r="AJ8" s="636" t="str">
        <f>AG8</f>
        <v>(%)</v>
      </c>
      <c r="AK8" s="444"/>
      <c r="AL8" s="635" t="str">
        <f>'État des Résultats'!AL8</f>
        <v>Pér.12</v>
      </c>
      <c r="AM8" s="636" t="str">
        <f>AJ8</f>
        <v>(%)</v>
      </c>
      <c r="AN8" s="188"/>
      <c r="AO8" s="188"/>
      <c r="AP8" s="645" t="str">
        <f>'État des Résultats'!AP8</f>
        <v>Total</v>
      </c>
      <c r="AQ8" s="636" t="str">
        <f>AM8</f>
        <v>(%)</v>
      </c>
      <c r="AS8" s="900"/>
      <c r="AT8" s="376"/>
      <c r="AU8" s="376"/>
      <c r="AV8" s="376"/>
      <c r="AW8" s="376"/>
      <c r="AX8" s="376"/>
      <c r="AY8" s="376"/>
      <c r="AZ8" s="376"/>
      <c r="BA8" s="376"/>
      <c r="BB8" s="376"/>
      <c r="BC8" s="903"/>
    </row>
    <row r="9" spans="2:55" ht="15" thickTop="1" thickBot="1" x14ac:dyDescent="0.2">
      <c r="B9" s="904">
        <f>AP38/B7</f>
        <v>3224.6273600000004</v>
      </c>
      <c r="C9" s="905"/>
      <c r="D9" s="252"/>
      <c r="E9" s="637" t="str">
        <f>'État des Résultats'!E9</f>
        <v>Janvier 2021</v>
      </c>
      <c r="F9" s="638"/>
      <c r="G9" s="391"/>
      <c r="H9" s="637" t="str">
        <f>'État des Résultats'!H9</f>
        <v>Février 2021</v>
      </c>
      <c r="I9" s="639"/>
      <c r="J9" s="391"/>
      <c r="K9" s="637" t="str">
        <f>'État des Résultats'!K9</f>
        <v>Mars 2021</v>
      </c>
      <c r="L9" s="639"/>
      <c r="M9" s="391"/>
      <c r="N9" s="637" t="str">
        <f>'État des Résultats'!N9</f>
        <v>Avril 2021</v>
      </c>
      <c r="O9" s="640"/>
      <c r="P9" s="447"/>
      <c r="Q9" s="445" t="str">
        <f>'État des Résultats'!Q9</f>
        <v>Mai 2021</v>
      </c>
      <c r="R9" s="446"/>
      <c r="S9" s="447"/>
      <c r="T9" s="637" t="str">
        <f>'État des Résultats'!T9</f>
        <v>Juin 2021</v>
      </c>
      <c r="U9" s="639"/>
      <c r="V9" s="391"/>
      <c r="W9" s="637" t="str">
        <f>'État des Résultats'!W9</f>
        <v>Juillet 2021</v>
      </c>
      <c r="X9" s="639"/>
      <c r="Y9" s="643"/>
      <c r="Z9" s="637" t="str">
        <f>'État des Résultats'!Z9</f>
        <v>Août 2021</v>
      </c>
      <c r="AA9" s="639"/>
      <c r="AB9" s="391"/>
      <c r="AC9" s="637" t="str">
        <f>'État des Résultats'!AC9</f>
        <v>Septembre 2021</v>
      </c>
      <c r="AD9" s="639"/>
      <c r="AE9" s="391"/>
      <c r="AF9" s="637" t="str">
        <f>'État des Résultats'!AF9</f>
        <v>Octobre 2021</v>
      </c>
      <c r="AG9" s="639"/>
      <c r="AH9" s="391"/>
      <c r="AI9" s="637" t="str">
        <f>'État des Résultats'!AI9</f>
        <v>Novembre 2021</v>
      </c>
      <c r="AJ9" s="639"/>
      <c r="AK9" s="448"/>
      <c r="AL9" s="637" t="str">
        <f>'État des Résultats'!AL9</f>
        <v>Décembre 2021</v>
      </c>
      <c r="AM9" s="639"/>
      <c r="AN9" s="391"/>
      <c r="AO9" s="391"/>
      <c r="AP9" s="646" t="str">
        <f>'État des Résultats'!AP9</f>
        <v>Année</v>
      </c>
      <c r="AQ9" s="647"/>
    </row>
    <row r="10" spans="2:55" ht="15" thickTop="1" thickBot="1" x14ac:dyDescent="0.2">
      <c r="B10" s="449"/>
      <c r="C10" s="450"/>
      <c r="D10" s="330"/>
      <c r="E10" s="451"/>
      <c r="F10" s="452"/>
      <c r="G10" s="393"/>
      <c r="H10" s="451"/>
      <c r="I10" s="451"/>
      <c r="J10" s="393"/>
      <c r="K10" s="451"/>
      <c r="L10" s="451"/>
      <c r="M10" s="393"/>
      <c r="N10" s="451"/>
      <c r="O10" s="451"/>
      <c r="P10" s="451"/>
      <c r="Q10" s="451"/>
      <c r="R10" s="451"/>
      <c r="S10" s="451"/>
      <c r="T10" s="451"/>
      <c r="U10" s="451"/>
      <c r="V10" s="393"/>
      <c r="W10" s="451"/>
      <c r="X10" s="451"/>
      <c r="Y10" s="389"/>
      <c r="Z10" s="451"/>
      <c r="AA10" s="451"/>
      <c r="AB10" s="393"/>
      <c r="AC10" s="451"/>
      <c r="AD10" s="451"/>
      <c r="AE10" s="393"/>
      <c r="AF10" s="451"/>
      <c r="AG10" s="451"/>
      <c r="AH10" s="393"/>
      <c r="AI10" s="451"/>
      <c r="AJ10" s="451"/>
      <c r="AK10" s="393"/>
      <c r="AL10" s="451"/>
      <c r="AM10" s="451"/>
      <c r="AN10" s="393"/>
      <c r="AO10" s="393"/>
      <c r="AP10" s="453"/>
      <c r="AQ10" s="452"/>
    </row>
    <row r="11" spans="2:55" ht="14" thickTop="1" x14ac:dyDescent="0.15">
      <c r="B11" s="454">
        <v>6100</v>
      </c>
      <c r="C11" s="455" t="s">
        <v>199</v>
      </c>
      <c r="D11" s="214"/>
      <c r="E11" s="456"/>
      <c r="F11" s="457"/>
      <c r="G11" s="214"/>
      <c r="H11" s="456"/>
      <c r="I11" s="457"/>
      <c r="J11" s="214"/>
      <c r="K11" s="456"/>
      <c r="L11" s="457"/>
      <c r="M11" s="214"/>
      <c r="N11" s="456"/>
      <c r="O11" s="457"/>
      <c r="P11" s="214"/>
      <c r="Q11" s="456"/>
      <c r="R11" s="457"/>
      <c r="S11" s="214"/>
      <c r="T11" s="456"/>
      <c r="U11" s="457"/>
      <c r="V11" s="214"/>
      <c r="W11" s="456"/>
      <c r="X11" s="457"/>
      <c r="Y11" s="214"/>
      <c r="Z11" s="456"/>
      <c r="AA11" s="457"/>
      <c r="AB11" s="214"/>
      <c r="AC11" s="456"/>
      <c r="AD11" s="457"/>
      <c r="AE11" s="214"/>
      <c r="AF11" s="456"/>
      <c r="AG11" s="457"/>
      <c r="AH11" s="214"/>
      <c r="AI11" s="456"/>
      <c r="AJ11" s="457"/>
      <c r="AK11" s="214"/>
      <c r="AL11" s="456"/>
      <c r="AM11" s="457"/>
      <c r="AN11" s="214"/>
      <c r="AO11" s="214"/>
      <c r="AP11" s="458"/>
      <c r="AQ11" s="459"/>
    </row>
    <row r="12" spans="2:55" x14ac:dyDescent="0.15">
      <c r="B12" s="430"/>
      <c r="C12" s="429"/>
      <c r="D12" s="431"/>
      <c r="E12" s="460"/>
      <c r="F12" s="461"/>
      <c r="G12" s="431"/>
      <c r="H12" s="460"/>
      <c r="I12" s="461"/>
      <c r="J12" s="431"/>
      <c r="K12" s="460"/>
      <c r="L12" s="461"/>
      <c r="M12" s="431"/>
      <c r="N12" s="460"/>
      <c r="O12" s="461"/>
      <c r="P12" s="431"/>
      <c r="Q12" s="460"/>
      <c r="R12" s="461"/>
      <c r="S12" s="431"/>
      <c r="T12" s="460"/>
      <c r="U12" s="461"/>
      <c r="V12" s="431"/>
      <c r="W12" s="460"/>
      <c r="X12" s="461"/>
      <c r="Y12" s="431"/>
      <c r="Z12" s="460"/>
      <c r="AA12" s="461"/>
      <c r="AB12" s="431"/>
      <c r="AC12" s="460"/>
      <c r="AD12" s="461"/>
      <c r="AE12" s="431"/>
      <c r="AF12" s="460"/>
      <c r="AG12" s="461"/>
      <c r="AH12" s="431"/>
      <c r="AI12" s="460"/>
      <c r="AJ12" s="461"/>
      <c r="AK12" s="431"/>
      <c r="AL12" s="460"/>
      <c r="AM12" s="461"/>
      <c r="AN12" s="431"/>
      <c r="AO12" s="431"/>
      <c r="AP12" s="493"/>
      <c r="AQ12" s="494"/>
      <c r="AR12" s="210"/>
    </row>
    <row r="13" spans="2:55" x14ac:dyDescent="0.15">
      <c r="B13" s="191">
        <v>6110</v>
      </c>
      <c r="C13" s="394" t="s">
        <v>200</v>
      </c>
      <c r="E13" s="462">
        <f>'Salaire (planification)'!E12</f>
        <v>2000</v>
      </c>
      <c r="F13" s="491">
        <f>E13/'État des Résultats'!$E$14</f>
        <v>5.221230043479793E-2</v>
      </c>
      <c r="H13" s="462">
        <f>'Salaire (planification)'!H12</f>
        <v>2000</v>
      </c>
      <c r="I13" s="491">
        <f>H13/'État des Résultats'!$E$14</f>
        <v>5.221230043479793E-2</v>
      </c>
      <c r="K13" s="462">
        <f>'Salaire (planification)'!K12</f>
        <v>2000</v>
      </c>
      <c r="L13" s="491">
        <f>K13/'État des Résultats'!$E$14</f>
        <v>5.221230043479793E-2</v>
      </c>
      <c r="N13" s="462">
        <f>'Salaire (planification)'!N12</f>
        <v>2000</v>
      </c>
      <c r="O13" s="491">
        <f>N13/'État des Résultats'!$E$14</f>
        <v>5.221230043479793E-2</v>
      </c>
      <c r="Q13" s="462">
        <f>'Salaire (planification)'!Q12</f>
        <v>2000</v>
      </c>
      <c r="R13" s="491">
        <f>Q13/'État des Résultats'!$E$14</f>
        <v>5.221230043479793E-2</v>
      </c>
      <c r="T13" s="462">
        <f>'Salaire (planification)'!T12</f>
        <v>2000</v>
      </c>
      <c r="U13" s="491">
        <f>T13/'État des Résultats'!$E$14</f>
        <v>5.221230043479793E-2</v>
      </c>
      <c r="W13" s="462">
        <f>'Salaire (planification)'!W12</f>
        <v>2000</v>
      </c>
      <c r="X13" s="491">
        <f>W13/'État des Résultats'!$E$14</f>
        <v>5.221230043479793E-2</v>
      </c>
      <c r="Z13" s="462">
        <f>'Salaire (planification)'!Z12</f>
        <v>2000</v>
      </c>
      <c r="AA13" s="491">
        <f>Z13/'État des Résultats'!$E$14</f>
        <v>5.221230043479793E-2</v>
      </c>
      <c r="AC13" s="462">
        <f>'Salaire (planification)'!AC12</f>
        <v>2000</v>
      </c>
      <c r="AD13" s="491">
        <f>AC13/'État des Résultats'!$E$14</f>
        <v>5.221230043479793E-2</v>
      </c>
      <c r="AF13" s="462">
        <f>'Salaire (planification)'!AF12</f>
        <v>2000</v>
      </c>
      <c r="AG13" s="491">
        <f>AF13/'État des Résultats'!$E$14</f>
        <v>5.221230043479793E-2</v>
      </c>
      <c r="AI13" s="462">
        <f>'Salaire (planification)'!AI12</f>
        <v>2000</v>
      </c>
      <c r="AJ13" s="491">
        <f>AI13/'État des Résultats'!$E$14</f>
        <v>5.221230043479793E-2</v>
      </c>
      <c r="AL13" s="462">
        <f>'Salaire (planification)'!AL12</f>
        <v>2000</v>
      </c>
      <c r="AM13" s="491">
        <f>AL13/'État des Résultats'!$E$14</f>
        <v>5.221230043479793E-2</v>
      </c>
      <c r="AP13" s="485">
        <f t="shared" ref="AP13:AP23" si="1">SUM(+$AL13+$AI13+$AF13+$AC13+$Z13+$W13+$T13+$Q13+$N13+$K13+$H13+$E13)</f>
        <v>24000</v>
      </c>
      <c r="AQ13" s="496">
        <f>AP13/'État des Résultats'!$AP$14</f>
        <v>4.245459182895045E-2</v>
      </c>
    </row>
    <row r="14" spans="2:55" x14ac:dyDescent="0.15">
      <c r="B14" s="191">
        <v>6120</v>
      </c>
      <c r="C14" s="394" t="s">
        <v>201</v>
      </c>
      <c r="E14" s="463">
        <f>'Salaire (planification)'!E18</f>
        <v>3000</v>
      </c>
      <c r="F14" s="491">
        <f>E14/'État des Résultats'!$E$14</f>
        <v>7.8318450652196892E-2</v>
      </c>
      <c r="G14" s="464">
        <v>2.6770411418212836E-6</v>
      </c>
      <c r="H14" s="463">
        <f>'Salaire (planification)'!H18</f>
        <v>3000</v>
      </c>
      <c r="I14" s="491">
        <f>H14/'État des Résultats'!$E$14</f>
        <v>7.8318450652196892E-2</v>
      </c>
      <c r="K14" s="463">
        <f>'Salaire (planification)'!K18</f>
        <v>3000</v>
      </c>
      <c r="L14" s="491">
        <f>K14/'État des Résultats'!$E$14</f>
        <v>7.8318450652196892E-2</v>
      </c>
      <c r="N14" s="463">
        <f>'Salaire (planification)'!N18</f>
        <v>3000</v>
      </c>
      <c r="O14" s="491">
        <f>N14/'État des Résultats'!$E$14</f>
        <v>7.8318450652196892E-2</v>
      </c>
      <c r="Q14" s="463">
        <f>'Salaire (planification)'!Q18</f>
        <v>3000</v>
      </c>
      <c r="R14" s="491">
        <f>Q14/'État des Résultats'!$E$14</f>
        <v>7.8318450652196892E-2</v>
      </c>
      <c r="T14" s="463">
        <f>'Salaire (planification)'!T18</f>
        <v>3000</v>
      </c>
      <c r="U14" s="491">
        <f>T14/'État des Résultats'!$E$14</f>
        <v>7.8318450652196892E-2</v>
      </c>
      <c r="W14" s="463">
        <f>'Salaire (planification)'!W18</f>
        <v>3000</v>
      </c>
      <c r="X14" s="491">
        <f>W14/'État des Résultats'!$E$14</f>
        <v>7.8318450652196892E-2</v>
      </c>
      <c r="Z14" s="463">
        <f>'Salaire (planification)'!Z18</f>
        <v>3000</v>
      </c>
      <c r="AA14" s="491">
        <f>Z14/'État des Résultats'!$E$14</f>
        <v>7.8318450652196892E-2</v>
      </c>
      <c r="AC14" s="463">
        <f>'Salaire (planification)'!AC18</f>
        <v>3000</v>
      </c>
      <c r="AD14" s="491">
        <f>AC14/'État des Résultats'!$E$14</f>
        <v>7.8318450652196892E-2</v>
      </c>
      <c r="AF14" s="463">
        <f>'Salaire (planification)'!AF18</f>
        <v>3000</v>
      </c>
      <c r="AG14" s="491">
        <f>AF14/'État des Résultats'!$E$14</f>
        <v>7.8318450652196892E-2</v>
      </c>
      <c r="AI14" s="463">
        <f>'Salaire (planification)'!AI18</f>
        <v>3000</v>
      </c>
      <c r="AJ14" s="491">
        <f>AI14/'État des Résultats'!$E$14</f>
        <v>7.8318450652196892E-2</v>
      </c>
      <c r="AL14" s="463">
        <f>'Salaire (planification)'!AL18</f>
        <v>3000</v>
      </c>
      <c r="AM14" s="491">
        <f>AL14/'État des Résultats'!$E$14</f>
        <v>7.8318450652196892E-2</v>
      </c>
      <c r="AP14" s="485">
        <f t="shared" si="1"/>
        <v>36000</v>
      </c>
      <c r="AQ14" s="496">
        <f>AP14/'État des Résultats'!$AP$14</f>
        <v>6.3681887743425675E-2</v>
      </c>
    </row>
    <row r="15" spans="2:55" x14ac:dyDescent="0.15">
      <c r="B15" s="191">
        <v>6130</v>
      </c>
      <c r="C15" s="394" t="s">
        <v>202</v>
      </c>
      <c r="E15" s="463">
        <f>'Salaire (planification)'!E24</f>
        <v>1000</v>
      </c>
      <c r="F15" s="491">
        <f>E15/'État des Résultats'!$E$14</f>
        <v>2.6106150217398965E-2</v>
      </c>
      <c r="H15" s="463">
        <f>'Salaire (planification)'!H24</f>
        <v>1000</v>
      </c>
      <c r="I15" s="491">
        <f>H15/'État des Résultats'!$E$14</f>
        <v>2.6106150217398965E-2</v>
      </c>
      <c r="K15" s="463">
        <f>'Salaire (planification)'!K24</f>
        <v>1000</v>
      </c>
      <c r="L15" s="491">
        <f>K15/'État des Résultats'!$E$14</f>
        <v>2.6106150217398965E-2</v>
      </c>
      <c r="N15" s="463">
        <f>'Salaire (planification)'!N24</f>
        <v>1000</v>
      </c>
      <c r="O15" s="491">
        <f>N15/'État des Résultats'!$E$14</f>
        <v>2.6106150217398965E-2</v>
      </c>
      <c r="Q15" s="463">
        <f>'Salaire (planification)'!Q24</f>
        <v>1000</v>
      </c>
      <c r="R15" s="491">
        <f>Q15/'État des Résultats'!$E$14</f>
        <v>2.6106150217398965E-2</v>
      </c>
      <c r="T15" s="463">
        <f>'Salaire (planification)'!T24</f>
        <v>1000</v>
      </c>
      <c r="U15" s="491">
        <f>T15/'État des Résultats'!$E$14</f>
        <v>2.6106150217398965E-2</v>
      </c>
      <c r="W15" s="463">
        <f>'Salaire (planification)'!W24</f>
        <v>1000</v>
      </c>
      <c r="X15" s="491">
        <f>W15/'État des Résultats'!$E$14</f>
        <v>2.6106150217398965E-2</v>
      </c>
      <c r="Z15" s="463">
        <f>'Salaire (planification)'!Z24</f>
        <v>1000</v>
      </c>
      <c r="AA15" s="491">
        <f>Z15/'État des Résultats'!$E$14</f>
        <v>2.6106150217398965E-2</v>
      </c>
      <c r="AC15" s="463">
        <f>'Salaire (planification)'!AC24</f>
        <v>1000</v>
      </c>
      <c r="AD15" s="491">
        <f>AC15/'État des Résultats'!$E$14</f>
        <v>2.6106150217398965E-2</v>
      </c>
      <c r="AF15" s="463">
        <f>'Salaire (planification)'!AF24</f>
        <v>1000</v>
      </c>
      <c r="AG15" s="491">
        <f>AF15/'État des Résultats'!$E$14</f>
        <v>2.6106150217398965E-2</v>
      </c>
      <c r="AI15" s="463">
        <f>'Salaire (planification)'!AI24</f>
        <v>1000</v>
      </c>
      <c r="AJ15" s="491">
        <f>AI15/'État des Résultats'!$E$14</f>
        <v>2.6106150217398965E-2</v>
      </c>
      <c r="AL15" s="463">
        <f>'Salaire (planification)'!AL24</f>
        <v>1000</v>
      </c>
      <c r="AM15" s="491">
        <f>AL15/'État des Résultats'!$E$14</f>
        <v>2.6106150217398965E-2</v>
      </c>
      <c r="AP15" s="485">
        <f t="shared" si="1"/>
        <v>12000</v>
      </c>
      <c r="AQ15" s="496">
        <f>AP15/'État des Résultats'!$AP$14</f>
        <v>2.1227295914475225E-2</v>
      </c>
    </row>
    <row r="16" spans="2:55" x14ac:dyDescent="0.15">
      <c r="B16" s="191">
        <v>6140</v>
      </c>
      <c r="C16" s="394" t="s">
        <v>203</v>
      </c>
      <c r="E16" s="463">
        <f>'Salaire (planification)'!E30</f>
        <v>500</v>
      </c>
      <c r="F16" s="491">
        <f>E16/'État des Résultats'!$E$14</f>
        <v>1.3053075108699482E-2</v>
      </c>
      <c r="H16" s="463">
        <f>'Salaire (planification)'!H30</f>
        <v>500</v>
      </c>
      <c r="I16" s="491">
        <f>H16/'État des Résultats'!$E$14</f>
        <v>1.3053075108699482E-2</v>
      </c>
      <c r="K16" s="463">
        <f>'Salaire (planification)'!K30</f>
        <v>500</v>
      </c>
      <c r="L16" s="491">
        <f>K16/'État des Résultats'!$E$14</f>
        <v>1.3053075108699482E-2</v>
      </c>
      <c r="N16" s="463">
        <f>'Salaire (planification)'!N30</f>
        <v>500</v>
      </c>
      <c r="O16" s="491">
        <f>N16/'État des Résultats'!$E$14</f>
        <v>1.3053075108699482E-2</v>
      </c>
      <c r="Q16" s="463">
        <f>'Salaire (planification)'!Q30</f>
        <v>500</v>
      </c>
      <c r="R16" s="491">
        <f>Q16/'État des Résultats'!$E$14</f>
        <v>1.3053075108699482E-2</v>
      </c>
      <c r="T16" s="463">
        <f>'Salaire (planification)'!T30</f>
        <v>500</v>
      </c>
      <c r="U16" s="491">
        <f>T16/'État des Résultats'!$E$14</f>
        <v>1.3053075108699482E-2</v>
      </c>
      <c r="W16" s="463">
        <f>'Salaire (planification)'!W30</f>
        <v>500</v>
      </c>
      <c r="X16" s="491">
        <f>W16/'État des Résultats'!$E$14</f>
        <v>1.3053075108699482E-2</v>
      </c>
      <c r="Z16" s="463">
        <f>'Salaire (planification)'!Z30</f>
        <v>500</v>
      </c>
      <c r="AA16" s="491">
        <f>Z16/'État des Résultats'!$E$14</f>
        <v>1.3053075108699482E-2</v>
      </c>
      <c r="AC16" s="463">
        <f>'Salaire (planification)'!AC30</f>
        <v>500</v>
      </c>
      <c r="AD16" s="491">
        <f>AC16/'État des Résultats'!$E$14</f>
        <v>1.3053075108699482E-2</v>
      </c>
      <c r="AF16" s="463">
        <f>'Salaire (planification)'!AF30</f>
        <v>500</v>
      </c>
      <c r="AG16" s="491">
        <f>AF16/'État des Résultats'!$E$14</f>
        <v>1.3053075108699482E-2</v>
      </c>
      <c r="AI16" s="463">
        <f>'Salaire (planification)'!AI30</f>
        <v>500</v>
      </c>
      <c r="AJ16" s="491">
        <f>AI16/'État des Résultats'!$E$14</f>
        <v>1.3053075108699482E-2</v>
      </c>
      <c r="AL16" s="463">
        <f>'Salaire (planification)'!AL30</f>
        <v>500</v>
      </c>
      <c r="AM16" s="491">
        <f>AL16/'État des Résultats'!$E$14</f>
        <v>1.3053075108699482E-2</v>
      </c>
      <c r="AP16" s="485">
        <f t="shared" si="1"/>
        <v>6000</v>
      </c>
      <c r="AQ16" s="496">
        <f>AP16/'État des Résultats'!$AP$14</f>
        <v>1.0613647957237612E-2</v>
      </c>
    </row>
    <row r="17" spans="2:69" x14ac:dyDescent="0.15">
      <c r="B17" s="191">
        <v>6150</v>
      </c>
      <c r="C17" s="394" t="s">
        <v>204</v>
      </c>
      <c r="E17" s="463">
        <f>'Salaire (planification)'!E36</f>
        <v>500</v>
      </c>
      <c r="F17" s="491">
        <f>E17/'État des Résultats'!$E$14</f>
        <v>1.3053075108699482E-2</v>
      </c>
      <c r="H17" s="463">
        <f>'Salaire (planification)'!H36</f>
        <v>500</v>
      </c>
      <c r="I17" s="491">
        <f>H17/'État des Résultats'!$E$14</f>
        <v>1.3053075108699482E-2</v>
      </c>
      <c r="K17" s="463">
        <f>'Salaire (planification)'!K36</f>
        <v>500</v>
      </c>
      <c r="L17" s="491">
        <f>K17/'État des Résultats'!$E$14</f>
        <v>1.3053075108699482E-2</v>
      </c>
      <c r="N17" s="463">
        <f>'Salaire (planification)'!N36</f>
        <v>500</v>
      </c>
      <c r="O17" s="491">
        <f>N17/'État des Résultats'!$E$14</f>
        <v>1.3053075108699482E-2</v>
      </c>
      <c r="Q17" s="463">
        <f>'Salaire (planification)'!Q36</f>
        <v>500</v>
      </c>
      <c r="R17" s="491">
        <f>Q17/'État des Résultats'!$E$14</f>
        <v>1.3053075108699482E-2</v>
      </c>
      <c r="T17" s="463">
        <f>'Salaire (planification)'!T36</f>
        <v>500</v>
      </c>
      <c r="U17" s="491">
        <f>T17/'État des Résultats'!$E$14</f>
        <v>1.3053075108699482E-2</v>
      </c>
      <c r="W17" s="463">
        <f>'Salaire (planification)'!W36</f>
        <v>500</v>
      </c>
      <c r="X17" s="491">
        <f>W17/'État des Résultats'!$E$14</f>
        <v>1.3053075108699482E-2</v>
      </c>
      <c r="Z17" s="463">
        <f>'Salaire (planification)'!Z36</f>
        <v>500</v>
      </c>
      <c r="AA17" s="491">
        <f>Z17/'État des Résultats'!$E$14</f>
        <v>1.3053075108699482E-2</v>
      </c>
      <c r="AC17" s="463">
        <f>'Salaire (planification)'!AC36</f>
        <v>500</v>
      </c>
      <c r="AD17" s="491">
        <f>AC17/'État des Résultats'!$E$14</f>
        <v>1.3053075108699482E-2</v>
      </c>
      <c r="AF17" s="463">
        <f>'Salaire (planification)'!AF36</f>
        <v>500</v>
      </c>
      <c r="AG17" s="491">
        <f>AF17/'État des Résultats'!$E$14</f>
        <v>1.3053075108699482E-2</v>
      </c>
      <c r="AI17" s="463">
        <f>'Salaire (planification)'!AI36</f>
        <v>500</v>
      </c>
      <c r="AJ17" s="491">
        <f>AI17/'État des Résultats'!$E$14</f>
        <v>1.3053075108699482E-2</v>
      </c>
      <c r="AL17" s="463">
        <f>'Salaire (planification)'!AL36</f>
        <v>500</v>
      </c>
      <c r="AM17" s="491">
        <f>AL17/'État des Résultats'!$E$14</f>
        <v>1.3053075108699482E-2</v>
      </c>
      <c r="AP17" s="485">
        <f t="shared" si="1"/>
        <v>6000</v>
      </c>
      <c r="AQ17" s="496">
        <f>AP17/'État des Résultats'!$AP$14</f>
        <v>1.0613647957237612E-2</v>
      </c>
    </row>
    <row r="18" spans="2:69" x14ac:dyDescent="0.15">
      <c r="B18" s="191">
        <v>6160</v>
      </c>
      <c r="C18" s="394" t="s">
        <v>205</v>
      </c>
      <c r="E18" s="463">
        <f>'Salaire (planification)'!E42</f>
        <v>1500</v>
      </c>
      <c r="F18" s="491">
        <f>E18/'État des Résultats'!$E$14</f>
        <v>3.9159225326098446E-2</v>
      </c>
      <c r="H18" s="463">
        <f>'Salaire (planification)'!H42</f>
        <v>1500</v>
      </c>
      <c r="I18" s="491">
        <f>H18/'État des Résultats'!$E$14</f>
        <v>3.9159225326098446E-2</v>
      </c>
      <c r="K18" s="463">
        <f>'Salaire (planification)'!K42</f>
        <v>1500</v>
      </c>
      <c r="L18" s="491">
        <f>K18/'État des Résultats'!$E$14</f>
        <v>3.9159225326098446E-2</v>
      </c>
      <c r="N18" s="463">
        <f>'Salaire (planification)'!N42</f>
        <v>1500</v>
      </c>
      <c r="O18" s="491">
        <f>N18/'État des Résultats'!$E$14</f>
        <v>3.9159225326098446E-2</v>
      </c>
      <c r="Q18" s="463">
        <f>'Salaire (planification)'!Q42</f>
        <v>1500</v>
      </c>
      <c r="R18" s="491">
        <f>Q18/'État des Résultats'!$E$14</f>
        <v>3.9159225326098446E-2</v>
      </c>
      <c r="T18" s="463">
        <f>'Salaire (planification)'!T42</f>
        <v>1500</v>
      </c>
      <c r="U18" s="491">
        <f>T18/'État des Résultats'!$E$14</f>
        <v>3.9159225326098446E-2</v>
      </c>
      <c r="W18" s="463">
        <f>'Salaire (planification)'!W42</f>
        <v>1500</v>
      </c>
      <c r="X18" s="491">
        <f>W18/'État des Résultats'!$E$14</f>
        <v>3.9159225326098446E-2</v>
      </c>
      <c r="Z18" s="463">
        <f>'Salaire (planification)'!Z42</f>
        <v>1500</v>
      </c>
      <c r="AA18" s="491">
        <f>Z18/'État des Résultats'!$E$14</f>
        <v>3.9159225326098446E-2</v>
      </c>
      <c r="AC18" s="463">
        <f>'Salaire (planification)'!AC42</f>
        <v>1500</v>
      </c>
      <c r="AD18" s="491">
        <f>AC18/'État des Résultats'!$E$14</f>
        <v>3.9159225326098446E-2</v>
      </c>
      <c r="AF18" s="463">
        <f>'Salaire (planification)'!AF42</f>
        <v>1500</v>
      </c>
      <c r="AG18" s="491">
        <f>AF18/'État des Résultats'!$E$14</f>
        <v>3.9159225326098446E-2</v>
      </c>
      <c r="AI18" s="463">
        <f>'Salaire (planification)'!AI42</f>
        <v>1500</v>
      </c>
      <c r="AJ18" s="491">
        <f>AI18/'État des Résultats'!$E$14</f>
        <v>3.9159225326098446E-2</v>
      </c>
      <c r="AL18" s="463">
        <f>'Salaire (planification)'!AL42</f>
        <v>1500</v>
      </c>
      <c r="AM18" s="491">
        <f>AL18/'État des Résultats'!$E$14</f>
        <v>3.9159225326098446E-2</v>
      </c>
      <c r="AP18" s="485">
        <f t="shared" si="1"/>
        <v>18000</v>
      </c>
      <c r="AQ18" s="496">
        <f>AP18/'État des Résultats'!$AP$14</f>
        <v>3.1840943871712837E-2</v>
      </c>
    </row>
    <row r="19" spans="2:69" x14ac:dyDescent="0.15">
      <c r="B19" s="191">
        <v>6170</v>
      </c>
      <c r="C19" s="394" t="s">
        <v>206</v>
      </c>
      <c r="E19" s="463">
        <f>'Salaire (planification)'!E48</f>
        <v>1023</v>
      </c>
      <c r="F19" s="491">
        <f>E19/'État des Résultats'!$E$14</f>
        <v>2.6706591672399142E-2</v>
      </c>
      <c r="H19" s="463">
        <f>'Salaire (planification)'!H48</f>
        <v>924</v>
      </c>
      <c r="I19" s="491">
        <f>H19/'État des Résultats'!$E$14</f>
        <v>2.4122082800876642E-2</v>
      </c>
      <c r="K19" s="463">
        <f>'Salaire (planification)'!K48</f>
        <v>1000</v>
      </c>
      <c r="L19" s="491">
        <f>K19/'État des Résultats'!$E$14</f>
        <v>2.6106150217398965E-2</v>
      </c>
      <c r="N19" s="463">
        <f>'Salaire (planification)'!N48</f>
        <v>1000</v>
      </c>
      <c r="O19" s="491">
        <f>N19/'État des Résultats'!$E$14</f>
        <v>2.6106150217398965E-2</v>
      </c>
      <c r="Q19" s="463">
        <f>'Salaire (planification)'!Q48</f>
        <v>1000</v>
      </c>
      <c r="R19" s="491">
        <f>Q19/'État des Résultats'!$E$14</f>
        <v>2.6106150217398965E-2</v>
      </c>
      <c r="T19" s="463">
        <f>'Salaire (planification)'!T48</f>
        <v>1000</v>
      </c>
      <c r="U19" s="491">
        <f>T19/'État des Résultats'!$E$14</f>
        <v>2.6106150217398965E-2</v>
      </c>
      <c r="W19" s="463">
        <f>'Salaire (planification)'!W48</f>
        <v>1000</v>
      </c>
      <c r="X19" s="491">
        <f>W19/'État des Résultats'!$E$14</f>
        <v>2.6106150217398965E-2</v>
      </c>
      <c r="Z19" s="463">
        <f>'Salaire (planification)'!Z48</f>
        <v>1000</v>
      </c>
      <c r="AA19" s="491">
        <f>Z19/'État des Résultats'!$E$14</f>
        <v>2.6106150217398965E-2</v>
      </c>
      <c r="AC19" s="463">
        <f>'Salaire (planification)'!AC48</f>
        <v>1000</v>
      </c>
      <c r="AD19" s="491">
        <f>AC19/'État des Résultats'!$E$14</f>
        <v>2.6106150217398965E-2</v>
      </c>
      <c r="AF19" s="463">
        <f>'Salaire (planification)'!AF48</f>
        <v>1000</v>
      </c>
      <c r="AG19" s="491">
        <f>AF19/'État des Résultats'!$E$14</f>
        <v>2.6106150217398965E-2</v>
      </c>
      <c r="AI19" s="463">
        <f>'Salaire (planification)'!AI48</f>
        <v>1000</v>
      </c>
      <c r="AJ19" s="491">
        <f>AI19/'État des Résultats'!$E$14</f>
        <v>2.6106150217398965E-2</v>
      </c>
      <c r="AL19" s="463">
        <f>'Salaire (planification)'!AL48</f>
        <v>1000</v>
      </c>
      <c r="AM19" s="491">
        <f>AL19/'État des Résultats'!$E$14</f>
        <v>2.6106150217398965E-2</v>
      </c>
      <c r="AP19" s="485">
        <f t="shared" si="1"/>
        <v>11947</v>
      </c>
      <c r="AQ19" s="496">
        <f>AP19/'État des Résultats'!$AP$14</f>
        <v>2.1133542024186294E-2</v>
      </c>
    </row>
    <row r="20" spans="2:69" x14ac:dyDescent="0.15">
      <c r="B20" s="191">
        <v>6180</v>
      </c>
      <c r="C20" s="394" t="s">
        <v>207</v>
      </c>
      <c r="E20" s="463">
        <f>'Salaire (planification)'!E54</f>
        <v>500</v>
      </c>
      <c r="F20" s="491">
        <f>E20/'État des Résultats'!$E$14</f>
        <v>1.3053075108699482E-2</v>
      </c>
      <c r="H20" s="463">
        <f>'Salaire (planification)'!H54</f>
        <v>5000</v>
      </c>
      <c r="I20" s="491">
        <f>H20/'État des Résultats'!$E$14</f>
        <v>0.13053075108699483</v>
      </c>
      <c r="K20" s="463">
        <f>'Salaire (planification)'!K54</f>
        <v>500</v>
      </c>
      <c r="L20" s="491">
        <f>K20/'État des Résultats'!$E$14</f>
        <v>1.3053075108699482E-2</v>
      </c>
      <c r="N20" s="463">
        <f>'Salaire (planification)'!N54</f>
        <v>500</v>
      </c>
      <c r="O20" s="491">
        <f>N20/'État des Résultats'!$E$14</f>
        <v>1.3053075108699482E-2</v>
      </c>
      <c r="Q20" s="463">
        <f>'Salaire (planification)'!Q54</f>
        <v>500</v>
      </c>
      <c r="R20" s="491">
        <f>Q20/'État des Résultats'!$E$14</f>
        <v>1.3053075108699482E-2</v>
      </c>
      <c r="T20" s="463">
        <f>'Salaire (planification)'!T54</f>
        <v>500</v>
      </c>
      <c r="U20" s="491">
        <f>T20/'État des Résultats'!$E$14</f>
        <v>1.3053075108699482E-2</v>
      </c>
      <c r="W20" s="463">
        <f>'Salaire (planification)'!W54</f>
        <v>500</v>
      </c>
      <c r="X20" s="491">
        <f>W20/'État des Résultats'!$E$14</f>
        <v>1.3053075108699482E-2</v>
      </c>
      <c r="Z20" s="463">
        <f>'Salaire (planification)'!Z54</f>
        <v>500</v>
      </c>
      <c r="AA20" s="491">
        <f>Z20/'État des Résultats'!$E$14</f>
        <v>1.3053075108699482E-2</v>
      </c>
      <c r="AC20" s="463">
        <f>'Salaire (planification)'!AC54</f>
        <v>500</v>
      </c>
      <c r="AD20" s="491">
        <f>AC20/'État des Résultats'!$E$14</f>
        <v>1.3053075108699482E-2</v>
      </c>
      <c r="AF20" s="463">
        <f>'Salaire (planification)'!AF54</f>
        <v>500</v>
      </c>
      <c r="AG20" s="491">
        <f>AF20/'État des Résultats'!$E$14</f>
        <v>1.3053075108699482E-2</v>
      </c>
      <c r="AI20" s="463">
        <f>'Salaire (planification)'!AI54</f>
        <v>500</v>
      </c>
      <c r="AJ20" s="491">
        <f>AI20/'État des Résultats'!$E$14</f>
        <v>1.3053075108699482E-2</v>
      </c>
      <c r="AL20" s="463">
        <f>'Salaire (planification)'!AL54</f>
        <v>500</v>
      </c>
      <c r="AM20" s="491">
        <f>AL20/'État des Résultats'!$E$14</f>
        <v>1.3053075108699482E-2</v>
      </c>
      <c r="AP20" s="485">
        <f t="shared" si="1"/>
        <v>10500</v>
      </c>
      <c r="AQ20" s="496">
        <f>AP20/'État des Résultats'!$AP$14</f>
        <v>1.8573883925165822E-2</v>
      </c>
    </row>
    <row r="21" spans="2:69" x14ac:dyDescent="0.15">
      <c r="B21" s="191">
        <v>6190</v>
      </c>
      <c r="C21" s="394" t="s">
        <v>208</v>
      </c>
      <c r="E21" s="463">
        <f>'Salaire (planification)'!E60</f>
        <v>500</v>
      </c>
      <c r="F21" s="491">
        <f>E21/'État des Résultats'!$E$14</f>
        <v>1.3053075108699482E-2</v>
      </c>
      <c r="H21" s="463">
        <f>'Salaire (planification)'!H60</f>
        <v>500</v>
      </c>
      <c r="I21" s="491">
        <f>H21/'État des Résultats'!$E$14</f>
        <v>1.3053075108699482E-2</v>
      </c>
      <c r="K21" s="463">
        <f>'Salaire (planification)'!K60</f>
        <v>500</v>
      </c>
      <c r="L21" s="491">
        <f>K21/'État des Résultats'!$E$14</f>
        <v>1.3053075108699482E-2</v>
      </c>
      <c r="N21" s="463">
        <f>'Salaire (planification)'!N60</f>
        <v>500</v>
      </c>
      <c r="O21" s="491">
        <f>N21/'État des Résultats'!$E$14</f>
        <v>1.3053075108699482E-2</v>
      </c>
      <c r="Q21" s="463">
        <f>'Salaire (planification)'!Q60</f>
        <v>500</v>
      </c>
      <c r="R21" s="491">
        <f>Q21/'État des Résultats'!$E$14</f>
        <v>1.3053075108699482E-2</v>
      </c>
      <c r="T21" s="463">
        <f>'Salaire (planification)'!T60</f>
        <v>500</v>
      </c>
      <c r="U21" s="491">
        <f>T21/'État des Résultats'!$E$14</f>
        <v>1.3053075108699482E-2</v>
      </c>
      <c r="W21" s="463">
        <f>'Salaire (planification)'!W60</f>
        <v>500</v>
      </c>
      <c r="X21" s="491">
        <f>W21/'État des Résultats'!$E$14</f>
        <v>1.3053075108699482E-2</v>
      </c>
      <c r="Z21" s="463">
        <f>'Salaire (planification)'!Z60</f>
        <v>500</v>
      </c>
      <c r="AA21" s="491">
        <f>Z21/'État des Résultats'!$E$14</f>
        <v>1.3053075108699482E-2</v>
      </c>
      <c r="AC21" s="463">
        <f>'Salaire (planification)'!AC60</f>
        <v>500</v>
      </c>
      <c r="AD21" s="491">
        <f>AC21/'État des Résultats'!$E$14</f>
        <v>1.3053075108699482E-2</v>
      </c>
      <c r="AF21" s="463">
        <f>'Salaire (planification)'!AF60</f>
        <v>500</v>
      </c>
      <c r="AG21" s="491">
        <f>AF21/'État des Résultats'!$E$14</f>
        <v>1.3053075108699482E-2</v>
      </c>
      <c r="AI21" s="463">
        <f>'Salaire (planification)'!AI60</f>
        <v>500</v>
      </c>
      <c r="AJ21" s="491">
        <f>AI21/'État des Résultats'!$E$14</f>
        <v>1.3053075108699482E-2</v>
      </c>
      <c r="AL21" s="463">
        <f>'Salaire (planification)'!AL60</f>
        <v>500</v>
      </c>
      <c r="AM21" s="491">
        <f>AL21/'État des Résultats'!$E$14</f>
        <v>1.3053075108699482E-2</v>
      </c>
      <c r="AP21" s="485">
        <f t="shared" si="1"/>
        <v>6000</v>
      </c>
      <c r="AQ21" s="496">
        <f>AP21/'État des Résultats'!$AP$14</f>
        <v>1.0613647957237612E-2</v>
      </c>
    </row>
    <row r="22" spans="2:69" x14ac:dyDescent="0.15">
      <c r="B22" s="191"/>
      <c r="C22" s="394"/>
      <c r="E22" s="465"/>
      <c r="F22" s="491"/>
      <c r="H22" s="465"/>
      <c r="I22" s="491"/>
      <c r="K22" s="465"/>
      <c r="L22" s="491"/>
      <c r="N22" s="465"/>
      <c r="O22" s="491"/>
      <c r="Q22" s="465"/>
      <c r="R22" s="491"/>
      <c r="T22" s="465"/>
      <c r="U22" s="491"/>
      <c r="W22" s="465"/>
      <c r="X22" s="491"/>
      <c r="Z22" s="465"/>
      <c r="AA22" s="491"/>
      <c r="AC22" s="465"/>
      <c r="AD22" s="491"/>
      <c r="AF22" s="465"/>
      <c r="AG22" s="491"/>
      <c r="AI22" s="465"/>
      <c r="AJ22" s="491"/>
      <c r="AL22" s="465"/>
      <c r="AM22" s="491"/>
      <c r="AP22" s="485"/>
      <c r="AQ22" s="496"/>
    </row>
    <row r="23" spans="2:69" ht="14" thickBot="1" x14ac:dyDescent="0.2">
      <c r="B23" s="466"/>
      <c r="C23" s="467" t="s">
        <v>209</v>
      </c>
      <c r="D23" s="214"/>
      <c r="E23" s="468">
        <f>SUM(E13:E21)</f>
        <v>10523</v>
      </c>
      <c r="F23" s="492">
        <f>+SUM(F13:F21)</f>
        <v>0.27471501873768928</v>
      </c>
      <c r="G23" s="214"/>
      <c r="H23" s="468">
        <f>SUM(H13:H21)</f>
        <v>14924</v>
      </c>
      <c r="I23" s="492">
        <f>+SUM(I13:I21)</f>
        <v>0.38960818584446211</v>
      </c>
      <c r="J23" s="214"/>
      <c r="K23" s="468">
        <f>SUM(K13:K21)</f>
        <v>10500</v>
      </c>
      <c r="L23" s="492">
        <f>+SUM(L13:L21)</f>
        <v>0.27411457728268912</v>
      </c>
      <c r="M23" s="214"/>
      <c r="N23" s="468">
        <f>SUM(N13:N21)</f>
        <v>10500</v>
      </c>
      <c r="O23" s="492">
        <f>+SUM(O13:O21)</f>
        <v>0.27411457728268912</v>
      </c>
      <c r="P23" s="214"/>
      <c r="Q23" s="468">
        <f>SUM(Q13:Q21)</f>
        <v>10500</v>
      </c>
      <c r="R23" s="492">
        <f>+SUM(R13:R21)</f>
        <v>0.27411457728268912</v>
      </c>
      <c r="S23" s="214"/>
      <c r="T23" s="468">
        <f>SUM(T13:T21)</f>
        <v>10500</v>
      </c>
      <c r="U23" s="492">
        <f>+SUM(U13:U21)</f>
        <v>0.27411457728268912</v>
      </c>
      <c r="V23" s="214"/>
      <c r="W23" s="468">
        <f>SUM(W13:W21)</f>
        <v>10500</v>
      </c>
      <c r="X23" s="492">
        <f>+SUM(X13:X21)</f>
        <v>0.27411457728268912</v>
      </c>
      <c r="Y23" s="214"/>
      <c r="Z23" s="468">
        <f>SUM(Z13:Z21)</f>
        <v>10500</v>
      </c>
      <c r="AA23" s="492">
        <f>+SUM(AA13:AA21)</f>
        <v>0.27411457728268912</v>
      </c>
      <c r="AB23" s="214"/>
      <c r="AC23" s="468">
        <f>SUM(AC13:AC21)</f>
        <v>10500</v>
      </c>
      <c r="AD23" s="492">
        <f>+SUM(AD13:AD21)</f>
        <v>0.27411457728268912</v>
      </c>
      <c r="AE23" s="214"/>
      <c r="AF23" s="468">
        <f>SUM(AF13:AF21)</f>
        <v>10500</v>
      </c>
      <c r="AG23" s="492">
        <f>+SUM(AG13:AG21)</f>
        <v>0.27411457728268912</v>
      </c>
      <c r="AH23" s="214"/>
      <c r="AI23" s="468">
        <f>SUM(AI13:AI21)</f>
        <v>10500</v>
      </c>
      <c r="AJ23" s="492">
        <f>+SUM(AJ13:AJ21)</f>
        <v>0.27411457728268912</v>
      </c>
      <c r="AK23" s="214"/>
      <c r="AL23" s="468">
        <f>SUM(AL13:AL21)</f>
        <v>10500</v>
      </c>
      <c r="AM23" s="492">
        <f>+SUM(AM13:AM21)</f>
        <v>0.27411457728268912</v>
      </c>
      <c r="AN23" s="214"/>
      <c r="AO23" s="214"/>
      <c r="AP23" s="469">
        <f t="shared" si="1"/>
        <v>130447</v>
      </c>
      <c r="AQ23" s="492">
        <f>+SUM(AQ13:AQ21)</f>
        <v>0.23075308917962917</v>
      </c>
      <c r="AR23" s="252"/>
    </row>
    <row r="24" spans="2:69" ht="15" thickTop="1" thickBot="1" x14ac:dyDescent="0.2">
      <c r="B24" s="504"/>
      <c r="C24" s="504"/>
      <c r="D24" s="504"/>
      <c r="E24" s="559"/>
      <c r="F24" s="560"/>
      <c r="G24" s="504"/>
      <c r="H24" s="559"/>
      <c r="I24" s="560"/>
      <c r="J24" s="504"/>
      <c r="K24" s="559"/>
      <c r="L24" s="560"/>
      <c r="M24" s="504"/>
      <c r="N24" s="559"/>
      <c r="O24" s="560"/>
      <c r="P24" s="504"/>
      <c r="Q24" s="559"/>
      <c r="R24" s="560"/>
      <c r="S24" s="504"/>
      <c r="T24" s="559"/>
      <c r="U24" s="560"/>
      <c r="V24" s="504"/>
      <c r="W24" s="559"/>
      <c r="X24" s="560"/>
      <c r="Y24" s="504"/>
      <c r="Z24" s="559"/>
      <c r="AA24" s="560"/>
      <c r="AB24" s="504"/>
      <c r="AC24" s="559"/>
      <c r="AD24" s="560"/>
      <c r="AE24" s="504"/>
      <c r="AF24" s="559"/>
      <c r="AG24" s="560"/>
      <c r="AH24" s="504"/>
      <c r="AI24" s="559"/>
      <c r="AJ24" s="560"/>
      <c r="AK24" s="504"/>
      <c r="AL24" s="559"/>
      <c r="AM24" s="560"/>
      <c r="AN24" s="504"/>
      <c r="AO24" s="504"/>
      <c r="AP24" s="514"/>
      <c r="AQ24" s="561"/>
    </row>
    <row r="25" spans="2:69" x14ac:dyDescent="0.15">
      <c r="B25" s="454">
        <v>6200</v>
      </c>
      <c r="C25" s="455" t="s">
        <v>210</v>
      </c>
      <c r="D25" s="214"/>
      <c r="E25" s="470"/>
      <c r="F25" s="471"/>
      <c r="G25" s="214"/>
      <c r="H25" s="470"/>
      <c r="I25" s="471"/>
      <c r="J25" s="214"/>
      <c r="K25" s="470"/>
      <c r="L25" s="471"/>
      <c r="M25" s="214"/>
      <c r="N25" s="470"/>
      <c r="O25" s="471"/>
      <c r="P25" s="214"/>
      <c r="Q25" s="470"/>
      <c r="R25" s="471"/>
      <c r="S25" s="214"/>
      <c r="T25" s="470"/>
      <c r="U25" s="471"/>
      <c r="V25" s="214"/>
      <c r="W25" s="470"/>
      <c r="X25" s="471"/>
      <c r="Y25" s="214"/>
      <c r="Z25" s="470"/>
      <c r="AA25" s="471"/>
      <c r="AB25" s="214"/>
      <c r="AC25" s="470"/>
      <c r="AD25" s="471"/>
      <c r="AE25" s="214"/>
      <c r="AF25" s="470"/>
      <c r="AG25" s="471"/>
      <c r="AH25" s="214"/>
      <c r="AI25" s="470"/>
      <c r="AJ25" s="471"/>
      <c r="AK25" s="214"/>
      <c r="AL25" s="470"/>
      <c r="AM25" s="471"/>
      <c r="AN25" s="214"/>
      <c r="AO25" s="214"/>
      <c r="AP25" s="472"/>
      <c r="AQ25" s="497"/>
      <c r="AR25" s="214"/>
      <c r="AS25" s="214"/>
      <c r="AT25" s="211"/>
      <c r="AU25" s="211"/>
      <c r="AV25" s="211"/>
      <c r="AW25" s="211"/>
      <c r="AX25" s="211"/>
      <c r="AY25" s="211"/>
      <c r="AZ25" s="211"/>
      <c r="BA25" s="211"/>
      <c r="BB25" s="211"/>
      <c r="BC25" s="211"/>
      <c r="BD25" s="211"/>
      <c r="BE25" s="211"/>
      <c r="BF25" s="211"/>
      <c r="BG25" s="211"/>
      <c r="BH25" s="211"/>
    </row>
    <row r="26" spans="2:69" x14ac:dyDescent="0.15">
      <c r="B26" s="430"/>
      <c r="C26" s="429"/>
      <c r="D26" s="431"/>
      <c r="E26" s="473"/>
      <c r="F26" s="474"/>
      <c r="G26" s="431"/>
      <c r="H26" s="473"/>
      <c r="I26" s="474"/>
      <c r="J26" s="431"/>
      <c r="K26" s="473"/>
      <c r="L26" s="474"/>
      <c r="M26" s="431"/>
      <c r="N26" s="473"/>
      <c r="O26" s="474"/>
      <c r="P26" s="431"/>
      <c r="Q26" s="473"/>
      <c r="R26" s="474"/>
      <c r="S26" s="431"/>
      <c r="T26" s="473"/>
      <c r="U26" s="474"/>
      <c r="V26" s="431"/>
      <c r="W26" s="473"/>
      <c r="X26" s="474"/>
      <c r="Y26" s="431"/>
      <c r="Z26" s="473"/>
      <c r="AA26" s="474"/>
      <c r="AB26" s="431"/>
      <c r="AC26" s="473"/>
      <c r="AD26" s="474"/>
      <c r="AE26" s="431"/>
      <c r="AF26" s="473"/>
      <c r="AG26" s="474"/>
      <c r="AH26" s="431"/>
      <c r="AI26" s="473"/>
      <c r="AJ26" s="474"/>
      <c r="AK26" s="431"/>
      <c r="AL26" s="473"/>
      <c r="AM26" s="474"/>
      <c r="AN26" s="431"/>
      <c r="AO26" s="431"/>
      <c r="AP26" s="495"/>
      <c r="AQ26" s="498"/>
      <c r="AR26" s="214"/>
      <c r="AS26" s="214"/>
      <c r="AT26" s="211"/>
      <c r="AU26" s="211"/>
      <c r="AV26" s="211"/>
      <c r="AW26" s="211"/>
      <c r="AX26" s="211"/>
      <c r="AY26" s="211"/>
      <c r="AZ26" s="211"/>
      <c r="BA26" s="211"/>
      <c r="BB26" s="211"/>
      <c r="BC26" s="211"/>
      <c r="BD26" s="211"/>
      <c r="BE26" s="211"/>
      <c r="BF26" s="211"/>
      <c r="BG26" s="211"/>
      <c r="BH26" s="211"/>
    </row>
    <row r="27" spans="2:69" x14ac:dyDescent="0.15">
      <c r="B27" s="191">
        <v>6205</v>
      </c>
      <c r="C27" s="394" t="s">
        <v>211</v>
      </c>
      <c r="E27" s="475">
        <f>'Salaire (planification)'!E67</f>
        <v>1262.76</v>
      </c>
      <c r="F27" s="491">
        <f>E27/'État des Résultats'!$E$14</f>
        <v>3.2965802248522719E-2</v>
      </c>
      <c r="H27" s="475">
        <f>'Salaire (planification)'!H67</f>
        <v>1790.88</v>
      </c>
      <c r="I27" s="491">
        <f>H27/'État des Résultats'!$E$14</f>
        <v>4.6752982301335462E-2</v>
      </c>
      <c r="K27" s="475">
        <f>'Salaire (planification)'!K67</f>
        <v>1260</v>
      </c>
      <c r="L27" s="491">
        <f>K27/'État des Résultats'!$E$14</f>
        <v>3.2893749273922697E-2</v>
      </c>
      <c r="N27" s="475">
        <f>'Salaire (planification)'!N67</f>
        <v>1260</v>
      </c>
      <c r="O27" s="491">
        <f>N27/'État des Résultats'!$E$14</f>
        <v>3.2893749273922697E-2</v>
      </c>
      <c r="Q27" s="475">
        <f>'Salaire (planification)'!Q67</f>
        <v>1260</v>
      </c>
      <c r="R27" s="491">
        <f>Q27/'État des Résultats'!$E$14</f>
        <v>3.2893749273922697E-2</v>
      </c>
      <c r="T27" s="475">
        <f>'Salaire (planification)'!T67</f>
        <v>1260</v>
      </c>
      <c r="U27" s="491">
        <f>T27/'État des Résultats'!$E$14</f>
        <v>3.2893749273922697E-2</v>
      </c>
      <c r="W27" s="475">
        <f>'Salaire (planification)'!W67</f>
        <v>1260</v>
      </c>
      <c r="X27" s="491">
        <f>W27/'État des Résultats'!$E$14</f>
        <v>3.2893749273922697E-2</v>
      </c>
      <c r="Z27" s="475">
        <f>'Salaire (planification)'!Z67</f>
        <v>1260</v>
      </c>
      <c r="AA27" s="491">
        <f>Z27/'État des Résultats'!$E$14</f>
        <v>3.2893749273922697E-2</v>
      </c>
      <c r="AC27" s="475">
        <f>'Salaire (planification)'!AC67</f>
        <v>1260</v>
      </c>
      <c r="AD27" s="491">
        <f>AC27/'État des Résultats'!$E$14</f>
        <v>3.2893749273922697E-2</v>
      </c>
      <c r="AF27" s="475">
        <f>'Salaire (planification)'!AF67</f>
        <v>1260</v>
      </c>
      <c r="AG27" s="491">
        <f>AF27/'État des Résultats'!$E$14</f>
        <v>3.2893749273922697E-2</v>
      </c>
      <c r="AI27" s="475">
        <f>'Salaire (planification)'!AI67</f>
        <v>1260</v>
      </c>
      <c r="AJ27" s="491">
        <f>AI27/'État des Résultats'!$E$14</f>
        <v>3.2893749273922697E-2</v>
      </c>
      <c r="AL27" s="475">
        <f>'Salaire (planification)'!AL67</f>
        <v>1260</v>
      </c>
      <c r="AM27" s="491">
        <f>AL27/'État des Résultats'!$E$14</f>
        <v>3.2893749273922697E-2</v>
      </c>
      <c r="AP27" s="485">
        <f t="shared" ref="AP27:AP35" si="2">SUM(+$AL27+$AI27+$AF27+$AC27+$Z27+$W27+$T27+$Q27+$N27+$K27+$H27+$E27)</f>
        <v>15653.640000000001</v>
      </c>
      <c r="AQ27" s="496">
        <f>+AP27/'État des Résultats'!$AP$14</f>
        <v>2.76903707015555E-2</v>
      </c>
    </row>
    <row r="28" spans="2:69" x14ac:dyDescent="0.15">
      <c r="B28" s="191">
        <v>6220</v>
      </c>
      <c r="C28" s="394" t="s">
        <v>229</v>
      </c>
      <c r="E28" s="691">
        <v>0</v>
      </c>
      <c r="F28" s="491">
        <f>E28/'État des Résultats'!$E$14</f>
        <v>0</v>
      </c>
      <c r="H28" s="691">
        <v>0</v>
      </c>
      <c r="I28" s="491">
        <f>H28/'État des Résultats'!$E$14</f>
        <v>0</v>
      </c>
      <c r="K28" s="691">
        <v>0</v>
      </c>
      <c r="L28" s="491">
        <f>K28/'État des Résultats'!$E$14</f>
        <v>0</v>
      </c>
      <c r="N28" s="691">
        <v>0</v>
      </c>
      <c r="O28" s="491">
        <f>N28/'État des Résultats'!$E$14</f>
        <v>0</v>
      </c>
      <c r="Q28" s="691">
        <v>0</v>
      </c>
      <c r="R28" s="491">
        <f>Q28/'État des Résultats'!$E$14</f>
        <v>0</v>
      </c>
      <c r="T28" s="691">
        <v>0</v>
      </c>
      <c r="U28" s="491">
        <f>T28/'État des Résultats'!$E$14</f>
        <v>0</v>
      </c>
      <c r="W28" s="691">
        <v>0</v>
      </c>
      <c r="X28" s="491">
        <f>W28/'État des Résultats'!$E$14</f>
        <v>0</v>
      </c>
      <c r="Z28" s="691">
        <v>0</v>
      </c>
      <c r="AA28" s="491">
        <f>Z28/'État des Résultats'!$E$14</f>
        <v>0</v>
      </c>
      <c r="AC28" s="691">
        <v>0</v>
      </c>
      <c r="AD28" s="491">
        <f>AC28/'État des Résultats'!$E$14</f>
        <v>0</v>
      </c>
      <c r="AF28" s="691">
        <v>0</v>
      </c>
      <c r="AG28" s="491">
        <f>AF28/'État des Résultats'!$E$14</f>
        <v>0</v>
      </c>
      <c r="AI28" s="691">
        <v>0</v>
      </c>
      <c r="AJ28" s="491">
        <f>AI28/'État des Résultats'!$E$14</f>
        <v>0</v>
      </c>
      <c r="AL28" s="691">
        <v>0</v>
      </c>
      <c r="AM28" s="491">
        <f>AL28/'État des Résultats'!$E$14</f>
        <v>0</v>
      </c>
      <c r="AP28" s="485">
        <f t="shared" si="2"/>
        <v>0</v>
      </c>
      <c r="AQ28" s="496">
        <f>+AP28/'État des Résultats'!$AP$14</f>
        <v>0</v>
      </c>
    </row>
    <row r="29" spans="2:69" x14ac:dyDescent="0.15">
      <c r="B29" s="191">
        <v>6230</v>
      </c>
      <c r="C29" s="394" t="s">
        <v>212</v>
      </c>
      <c r="E29" s="692">
        <v>0</v>
      </c>
      <c r="F29" s="491">
        <f>E29/'État des Résultats'!$E$14</f>
        <v>0</v>
      </c>
      <c r="H29" s="692">
        <v>0</v>
      </c>
      <c r="I29" s="491">
        <f>H29/'État des Résultats'!$E$14</f>
        <v>0</v>
      </c>
      <c r="K29" s="692">
        <v>0</v>
      </c>
      <c r="L29" s="491">
        <f>K29/'État des Résultats'!$E$14</f>
        <v>0</v>
      </c>
      <c r="N29" s="692">
        <v>0</v>
      </c>
      <c r="O29" s="491">
        <f>N29/'État des Résultats'!$E$14</f>
        <v>0</v>
      </c>
      <c r="Q29" s="692">
        <v>0</v>
      </c>
      <c r="R29" s="491">
        <f>Q29/'État des Résultats'!$E$14</f>
        <v>0</v>
      </c>
      <c r="T29" s="692">
        <v>0</v>
      </c>
      <c r="U29" s="491">
        <f>T29/'État des Résultats'!$E$14</f>
        <v>0</v>
      </c>
      <c r="W29" s="692">
        <v>0</v>
      </c>
      <c r="X29" s="491">
        <f>W29/'État des Résultats'!$E$14</f>
        <v>0</v>
      </c>
      <c r="Z29" s="692">
        <v>0</v>
      </c>
      <c r="AA29" s="491">
        <f>Z29/'État des Résultats'!$E$14</f>
        <v>0</v>
      </c>
      <c r="AC29" s="692">
        <v>0</v>
      </c>
      <c r="AD29" s="491">
        <f>AC29/'État des Résultats'!$E$14</f>
        <v>0</v>
      </c>
      <c r="AF29" s="692">
        <v>0</v>
      </c>
      <c r="AG29" s="491">
        <f>AF29/'État des Résultats'!$E$14</f>
        <v>0</v>
      </c>
      <c r="AI29" s="692">
        <v>0</v>
      </c>
      <c r="AJ29" s="491">
        <f>AI29/'État des Résultats'!$E$14</f>
        <v>0</v>
      </c>
      <c r="AL29" s="692">
        <v>0</v>
      </c>
      <c r="AM29" s="491">
        <f>AL29/'État des Résultats'!$E$14</f>
        <v>0</v>
      </c>
      <c r="AP29" s="485">
        <f t="shared" si="2"/>
        <v>0</v>
      </c>
      <c r="AQ29" s="496">
        <f>+AP29/'État des Résultats'!$AP$14</f>
        <v>0</v>
      </c>
    </row>
    <row r="30" spans="2:69" x14ac:dyDescent="0.15">
      <c r="B30" s="191">
        <v>6240</v>
      </c>
      <c r="C30" s="394" t="s">
        <v>213</v>
      </c>
      <c r="E30" s="692">
        <v>0</v>
      </c>
      <c r="F30" s="491">
        <f>E30/'État des Résultats'!$E$14</f>
        <v>0</v>
      </c>
      <c r="H30" s="692">
        <v>0</v>
      </c>
      <c r="I30" s="491">
        <f>H30/'État des Résultats'!$E$14</f>
        <v>0</v>
      </c>
      <c r="K30" s="692">
        <v>0</v>
      </c>
      <c r="L30" s="491">
        <f>K30/'État des Résultats'!$E$14</f>
        <v>0</v>
      </c>
      <c r="N30" s="692">
        <v>0</v>
      </c>
      <c r="O30" s="491">
        <f>N30/'État des Résultats'!$E$14</f>
        <v>0</v>
      </c>
      <c r="Q30" s="692">
        <v>0</v>
      </c>
      <c r="R30" s="491">
        <f>Q30/'État des Résultats'!$E$14</f>
        <v>0</v>
      </c>
      <c r="T30" s="692">
        <v>0</v>
      </c>
      <c r="U30" s="491">
        <f>T30/'État des Résultats'!$E$14</f>
        <v>0</v>
      </c>
      <c r="W30" s="692">
        <v>0</v>
      </c>
      <c r="X30" s="491">
        <f>W30/'État des Résultats'!$E$14</f>
        <v>0</v>
      </c>
      <c r="Z30" s="692">
        <v>0</v>
      </c>
      <c r="AA30" s="491">
        <f>Z30/'État des Résultats'!$E$14</f>
        <v>0</v>
      </c>
      <c r="AC30" s="692">
        <v>0</v>
      </c>
      <c r="AD30" s="491">
        <f>AC30/'État des Résultats'!$E$14</f>
        <v>0</v>
      </c>
      <c r="AF30" s="692">
        <v>0</v>
      </c>
      <c r="AG30" s="491">
        <f>AF30/'État des Résultats'!$E$14</f>
        <v>0</v>
      </c>
      <c r="AI30" s="692">
        <v>0</v>
      </c>
      <c r="AJ30" s="491">
        <f>AI30/'État des Résultats'!$E$14</f>
        <v>0</v>
      </c>
      <c r="AL30" s="692">
        <v>0</v>
      </c>
      <c r="AM30" s="491">
        <f>AL30/'État des Résultats'!$E$14</f>
        <v>0</v>
      </c>
      <c r="AP30" s="485">
        <f t="shared" si="2"/>
        <v>0</v>
      </c>
      <c r="AQ30" s="496">
        <f>+AP30/'État des Résultats'!$AP$14</f>
        <v>0</v>
      </c>
    </row>
    <row r="31" spans="2:69" x14ac:dyDescent="0.15">
      <c r="B31" s="191">
        <v>6245</v>
      </c>
      <c r="C31" s="394" t="s">
        <v>214</v>
      </c>
      <c r="E31" s="476">
        <f>'Salaire (planification)'!E68</f>
        <v>252.55199999999999</v>
      </c>
      <c r="F31" s="491">
        <f>E31/'État des Résultats'!$E$14</f>
        <v>6.5931604497045434E-3</v>
      </c>
      <c r="H31" s="476">
        <f>'Salaire (planification)'!H68</f>
        <v>358.17599999999999</v>
      </c>
      <c r="I31" s="491">
        <f>H31/'État des Résultats'!$E$14</f>
        <v>9.350596460267091E-3</v>
      </c>
      <c r="K31" s="476">
        <f>'Salaire (planification)'!K68</f>
        <v>252</v>
      </c>
      <c r="L31" s="491">
        <f>K31/'État des Résultats'!$E$14</f>
        <v>6.5787498547845392E-3</v>
      </c>
      <c r="N31" s="476">
        <f>'Salaire (planification)'!N68</f>
        <v>252</v>
      </c>
      <c r="O31" s="491">
        <f>N31/'État des Résultats'!$E$14</f>
        <v>6.5787498547845392E-3</v>
      </c>
      <c r="Q31" s="476">
        <f>'Salaire (planification)'!Q68</f>
        <v>252</v>
      </c>
      <c r="R31" s="491">
        <f>Q31/'État des Résultats'!$E$14</f>
        <v>6.5787498547845392E-3</v>
      </c>
      <c r="T31" s="476">
        <f>'Salaire (planification)'!T68</f>
        <v>252</v>
      </c>
      <c r="U31" s="491">
        <f>T31/'État des Résultats'!$E$14</f>
        <v>6.5787498547845392E-3</v>
      </c>
      <c r="W31" s="476">
        <f>'Salaire (planification)'!W68</f>
        <v>252</v>
      </c>
      <c r="X31" s="491">
        <f>W31/'État des Résultats'!$E$14</f>
        <v>6.5787498547845392E-3</v>
      </c>
      <c r="Z31" s="476">
        <f>'Salaire (planification)'!Z68</f>
        <v>252</v>
      </c>
      <c r="AA31" s="491">
        <f>Z31/'État des Résultats'!$E$14</f>
        <v>6.5787498547845392E-3</v>
      </c>
      <c r="AC31" s="476">
        <f>'Salaire (planification)'!AC68</f>
        <v>252</v>
      </c>
      <c r="AD31" s="491">
        <f>AC31/'État des Résultats'!$E$14</f>
        <v>6.5787498547845392E-3</v>
      </c>
      <c r="AF31" s="476">
        <f>'Salaire (planification)'!AF68</f>
        <v>252</v>
      </c>
      <c r="AG31" s="491">
        <f>AF31/'État des Résultats'!$E$14</f>
        <v>6.5787498547845392E-3</v>
      </c>
      <c r="AI31" s="476">
        <f>'Salaire (planification)'!AI68</f>
        <v>252</v>
      </c>
      <c r="AJ31" s="491">
        <f>AI31/'État des Résultats'!$E$14</f>
        <v>6.5787498547845392E-3</v>
      </c>
      <c r="AL31" s="476">
        <f>'Salaire (planification)'!AL68</f>
        <v>252</v>
      </c>
      <c r="AM31" s="491">
        <f>AL31/'État des Résultats'!$E$14</f>
        <v>6.5787498547845392E-3</v>
      </c>
      <c r="AP31" s="485">
        <f t="shared" si="2"/>
        <v>3130.7280000000001</v>
      </c>
      <c r="AQ31" s="496">
        <f>+AP31/'État des Résultats'!$AP$14</f>
        <v>5.5380741403110991E-3</v>
      </c>
    </row>
    <row r="32" spans="2:69" x14ac:dyDescent="0.15">
      <c r="B32" s="191">
        <v>6255</v>
      </c>
      <c r="C32" s="394" t="s">
        <v>230</v>
      </c>
      <c r="E32" s="692">
        <v>0</v>
      </c>
      <c r="F32" s="491">
        <f>E32/'État des Résultats'!$E$14</f>
        <v>0</v>
      </c>
      <c r="G32" s="170"/>
      <c r="H32" s="692">
        <v>0</v>
      </c>
      <c r="I32" s="491">
        <f>H32/'État des Résultats'!$E$14</f>
        <v>0</v>
      </c>
      <c r="J32" s="170"/>
      <c r="K32" s="692">
        <v>0</v>
      </c>
      <c r="L32" s="491">
        <f>K32/'État des Résultats'!$E$14</f>
        <v>0</v>
      </c>
      <c r="M32" s="170"/>
      <c r="N32" s="692">
        <v>0</v>
      </c>
      <c r="O32" s="491">
        <f>N32/'État des Résultats'!$E$14</f>
        <v>0</v>
      </c>
      <c r="P32" s="170"/>
      <c r="Q32" s="692">
        <v>0</v>
      </c>
      <c r="R32" s="491">
        <f>Q32/'État des Résultats'!$E$14</f>
        <v>0</v>
      </c>
      <c r="S32" s="170"/>
      <c r="T32" s="692">
        <v>0</v>
      </c>
      <c r="U32" s="491">
        <f>T32/'État des Résultats'!$E$14</f>
        <v>0</v>
      </c>
      <c r="V32" s="170"/>
      <c r="W32" s="692">
        <v>0</v>
      </c>
      <c r="X32" s="491">
        <f>W32/'État des Résultats'!$E$14</f>
        <v>0</v>
      </c>
      <c r="Z32" s="692">
        <v>0</v>
      </c>
      <c r="AA32" s="491">
        <f>Z32/'État des Résultats'!$E$14</f>
        <v>0</v>
      </c>
      <c r="AB32" s="170"/>
      <c r="AC32" s="692">
        <v>0</v>
      </c>
      <c r="AD32" s="491">
        <f>AC32/'État des Résultats'!$E$14</f>
        <v>0</v>
      </c>
      <c r="AE32" s="170"/>
      <c r="AF32" s="692">
        <v>0</v>
      </c>
      <c r="AG32" s="491">
        <f>AF32/'État des Résultats'!$E$14</f>
        <v>0</v>
      </c>
      <c r="AH32" s="170"/>
      <c r="AI32" s="692">
        <v>0</v>
      </c>
      <c r="AJ32" s="491">
        <f>AI32/'État des Résultats'!$E$14</f>
        <v>0</v>
      </c>
      <c r="AK32" s="170"/>
      <c r="AL32" s="692">
        <v>0</v>
      </c>
      <c r="AM32" s="491">
        <f>AL32/'État des Résultats'!$E$14</f>
        <v>0</v>
      </c>
      <c r="AN32" s="170"/>
      <c r="AO32" s="170"/>
      <c r="AP32" s="485">
        <f t="shared" si="2"/>
        <v>0</v>
      </c>
      <c r="AQ32" s="496">
        <f>+AP32/'État des Résultats'!$AP$14</f>
        <v>0</v>
      </c>
      <c r="AR32" s="477"/>
      <c r="AS32" s="477"/>
      <c r="AT32" s="477"/>
      <c r="AU32" s="211"/>
      <c r="AV32" s="211"/>
      <c r="AW32" s="211"/>
      <c r="AX32" s="211"/>
      <c r="AY32" s="211"/>
      <c r="AZ32" s="211"/>
      <c r="BA32" s="211"/>
      <c r="BB32" s="477"/>
      <c r="BC32" s="477"/>
      <c r="BD32" s="477"/>
      <c r="BE32" s="477"/>
      <c r="BF32" s="477"/>
      <c r="BG32" s="170"/>
      <c r="BH32" s="170"/>
      <c r="BI32" s="170"/>
      <c r="BJ32" s="170"/>
      <c r="BK32" s="170"/>
      <c r="BL32" s="170"/>
      <c r="BM32" s="170"/>
      <c r="BN32" s="170"/>
      <c r="BO32" s="170"/>
      <c r="BP32" s="170"/>
      <c r="BQ32" s="170"/>
    </row>
    <row r="33" spans="2:54" x14ac:dyDescent="0.15">
      <c r="B33" s="191">
        <v>6260</v>
      </c>
      <c r="C33" s="394" t="s">
        <v>215</v>
      </c>
      <c r="E33" s="692">
        <v>1000</v>
      </c>
      <c r="F33" s="491">
        <f>E33/'État des Résultats'!$E$14</f>
        <v>2.6106150217398965E-2</v>
      </c>
      <c r="H33" s="692">
        <v>1000</v>
      </c>
      <c r="I33" s="491">
        <f>H33/'État des Résultats'!$E$14</f>
        <v>2.6106150217398965E-2</v>
      </c>
      <c r="K33" s="692">
        <v>1000</v>
      </c>
      <c r="L33" s="491">
        <f>K33/'État des Résultats'!$E$14</f>
        <v>2.6106150217398965E-2</v>
      </c>
      <c r="N33" s="692">
        <v>1000</v>
      </c>
      <c r="O33" s="491">
        <f>N33/'État des Résultats'!$E$14</f>
        <v>2.6106150217398965E-2</v>
      </c>
      <c r="Q33" s="692">
        <v>1000</v>
      </c>
      <c r="R33" s="491">
        <f>Q33/'État des Résultats'!$E$14</f>
        <v>2.6106150217398965E-2</v>
      </c>
      <c r="T33" s="692">
        <v>1000</v>
      </c>
      <c r="U33" s="491">
        <f>T33/'État des Résultats'!$E$14</f>
        <v>2.6106150217398965E-2</v>
      </c>
      <c r="W33" s="692">
        <v>1000</v>
      </c>
      <c r="X33" s="491">
        <f>W33/'État des Résultats'!$E$14</f>
        <v>2.6106150217398965E-2</v>
      </c>
      <c r="Z33" s="692">
        <v>1000</v>
      </c>
      <c r="AA33" s="491">
        <f>Z33/'État des Résultats'!$E$14</f>
        <v>2.6106150217398965E-2</v>
      </c>
      <c r="AC33" s="692">
        <v>1000</v>
      </c>
      <c r="AD33" s="491">
        <f>AC33/'État des Résultats'!$E$14</f>
        <v>2.6106150217398965E-2</v>
      </c>
      <c r="AF33" s="692">
        <v>1000</v>
      </c>
      <c r="AG33" s="491">
        <f>AF33/'État des Résultats'!$E$14</f>
        <v>2.6106150217398965E-2</v>
      </c>
      <c r="AI33" s="692">
        <v>1000</v>
      </c>
      <c r="AJ33" s="491">
        <f>AI33/'État des Résultats'!$E$14</f>
        <v>2.6106150217398965E-2</v>
      </c>
      <c r="AL33" s="692">
        <v>1000</v>
      </c>
      <c r="AM33" s="491">
        <f>AL33/'État des Résultats'!$E$14</f>
        <v>2.6106150217398965E-2</v>
      </c>
      <c r="AP33" s="485">
        <f t="shared" si="2"/>
        <v>12000</v>
      </c>
      <c r="AQ33" s="496">
        <f>+AP33/'État des Résultats'!$AP$14</f>
        <v>2.1227295914475225E-2</v>
      </c>
    </row>
    <row r="34" spans="2:54" x14ac:dyDescent="0.15">
      <c r="B34" s="191">
        <v>6265</v>
      </c>
      <c r="C34" s="394" t="s">
        <v>216</v>
      </c>
      <c r="E34" s="692">
        <v>0</v>
      </c>
      <c r="F34" s="491">
        <f>E34/'État des Résultats'!$E$14</f>
        <v>0</v>
      </c>
      <c r="H34" s="692">
        <v>0</v>
      </c>
      <c r="I34" s="491">
        <f>H34/'État des Résultats'!$E$14</f>
        <v>0</v>
      </c>
      <c r="K34" s="692">
        <v>0</v>
      </c>
      <c r="L34" s="491">
        <f>K34/'État des Résultats'!$E$14</f>
        <v>0</v>
      </c>
      <c r="N34" s="692">
        <v>0</v>
      </c>
      <c r="O34" s="491">
        <f>N34/'État des Résultats'!$E$14</f>
        <v>0</v>
      </c>
      <c r="Q34" s="692">
        <v>0</v>
      </c>
      <c r="R34" s="491">
        <f>Q34/'État des Résultats'!$E$14</f>
        <v>0</v>
      </c>
      <c r="T34" s="692">
        <v>0</v>
      </c>
      <c r="U34" s="491">
        <f>T34/'État des Résultats'!$E$14</f>
        <v>0</v>
      </c>
      <c r="W34" s="692">
        <v>0</v>
      </c>
      <c r="X34" s="491">
        <f>W34/'État des Résultats'!$E$14</f>
        <v>0</v>
      </c>
      <c r="Z34" s="692">
        <v>0</v>
      </c>
      <c r="AA34" s="491">
        <f>Z34/'État des Résultats'!$E$14</f>
        <v>0</v>
      </c>
      <c r="AC34" s="692">
        <v>0</v>
      </c>
      <c r="AD34" s="491">
        <f>AC34/'État des Résultats'!$E$14</f>
        <v>0</v>
      </c>
      <c r="AF34" s="692">
        <v>0</v>
      </c>
      <c r="AG34" s="491">
        <f>AF34/'État des Résultats'!$E$14</f>
        <v>0</v>
      </c>
      <c r="AI34" s="692">
        <v>0</v>
      </c>
      <c r="AJ34" s="491">
        <f>AI34/'État des Résultats'!$E$14</f>
        <v>0</v>
      </c>
      <c r="AL34" s="692">
        <v>0</v>
      </c>
      <c r="AM34" s="491">
        <f>AL34/'État des Résultats'!$E$14</f>
        <v>0</v>
      </c>
      <c r="AP34" s="485">
        <f t="shared" si="2"/>
        <v>0</v>
      </c>
      <c r="AQ34" s="496">
        <f>+AP34/'État des Résultats'!$AP$14</f>
        <v>0</v>
      </c>
    </row>
    <row r="35" spans="2:54" x14ac:dyDescent="0.15">
      <c r="B35" s="478" t="s">
        <v>217</v>
      </c>
      <c r="C35" s="394" t="s">
        <v>218</v>
      </c>
      <c r="E35" s="692">
        <v>0</v>
      </c>
      <c r="F35" s="491">
        <f>E35/'État des Résultats'!$E$14</f>
        <v>0</v>
      </c>
      <c r="H35" s="692">
        <v>0</v>
      </c>
      <c r="I35" s="491">
        <f>H35/'État des Résultats'!$E$14</f>
        <v>0</v>
      </c>
      <c r="K35" s="692">
        <v>0</v>
      </c>
      <c r="L35" s="491">
        <f>K35/'État des Résultats'!$E$14</f>
        <v>0</v>
      </c>
      <c r="N35" s="692">
        <v>0</v>
      </c>
      <c r="O35" s="491">
        <f>N35/'État des Résultats'!$E$14</f>
        <v>0</v>
      </c>
      <c r="Q35" s="692">
        <v>0</v>
      </c>
      <c r="R35" s="491">
        <f>Q35/'État des Résultats'!$E$14</f>
        <v>0</v>
      </c>
      <c r="T35" s="692">
        <v>0</v>
      </c>
      <c r="U35" s="491">
        <f>T35/'État des Résultats'!$E$14</f>
        <v>0</v>
      </c>
      <c r="W35" s="692">
        <v>0</v>
      </c>
      <c r="X35" s="491">
        <f>W35/'État des Résultats'!$E$14</f>
        <v>0</v>
      </c>
      <c r="Z35" s="692">
        <v>0</v>
      </c>
      <c r="AA35" s="491">
        <f>Z35/'État des Résultats'!$E$14</f>
        <v>0</v>
      </c>
      <c r="AC35" s="692">
        <v>0</v>
      </c>
      <c r="AD35" s="491">
        <f>AC35/'État des Résultats'!$E$14</f>
        <v>0</v>
      </c>
      <c r="AF35" s="692">
        <v>0</v>
      </c>
      <c r="AG35" s="491">
        <f>AF35/'État des Résultats'!$E$14</f>
        <v>0</v>
      </c>
      <c r="AI35" s="692">
        <v>0</v>
      </c>
      <c r="AJ35" s="491">
        <f>AI35/'État des Résultats'!$E$14</f>
        <v>0</v>
      </c>
      <c r="AL35" s="692">
        <v>0</v>
      </c>
      <c r="AM35" s="491">
        <f>AL35/'État des Résultats'!$E$14</f>
        <v>0</v>
      </c>
      <c r="AP35" s="485">
        <f t="shared" si="2"/>
        <v>0</v>
      </c>
      <c r="AQ35" s="496">
        <f>+AP35/'État des Résultats'!$AP$14</f>
        <v>0</v>
      </c>
    </row>
    <row r="36" spans="2:54" ht="14" thickBot="1" x14ac:dyDescent="0.2">
      <c r="B36" s="922" t="s">
        <v>219</v>
      </c>
      <c r="C36" s="923"/>
      <c r="D36" s="214"/>
      <c r="E36" s="468">
        <f>SUM(E27:E35)</f>
        <v>2515.3119999999999</v>
      </c>
      <c r="F36" s="492">
        <f>SUM(F27:F35)</f>
        <v>6.5665112915626225E-2</v>
      </c>
      <c r="G36" s="214"/>
      <c r="H36" s="468">
        <f>SUM(H27:H35)</f>
        <v>3149.056</v>
      </c>
      <c r="I36" s="492">
        <f>SUM(I27:I35)</f>
        <v>8.2209728979001515E-2</v>
      </c>
      <c r="J36" s="214"/>
      <c r="K36" s="468">
        <f>SUM(K27:K35)</f>
        <v>2512</v>
      </c>
      <c r="L36" s="492">
        <f>SUM(L27:L35)</f>
        <v>6.5578649346106202E-2</v>
      </c>
      <c r="M36" s="214"/>
      <c r="N36" s="468">
        <f>SUM(N27:N35)</f>
        <v>2512</v>
      </c>
      <c r="O36" s="492">
        <f>SUM(O27:O35)</f>
        <v>6.5578649346106202E-2</v>
      </c>
      <c r="P36" s="214"/>
      <c r="Q36" s="468">
        <f>SUM(Q27:Q35)</f>
        <v>2512</v>
      </c>
      <c r="R36" s="492">
        <f>SUM(R27:R35)</f>
        <v>6.5578649346106202E-2</v>
      </c>
      <c r="S36" s="214"/>
      <c r="T36" s="468">
        <f>SUM(T27:T35)</f>
        <v>2512</v>
      </c>
      <c r="U36" s="492">
        <f>SUM(U27:U35)</f>
        <v>6.5578649346106202E-2</v>
      </c>
      <c r="V36" s="214"/>
      <c r="W36" s="468">
        <f>SUM(W27:W35)</f>
        <v>2512</v>
      </c>
      <c r="X36" s="492">
        <f>SUM(X27:X35)</f>
        <v>6.5578649346106202E-2</v>
      </c>
      <c r="Y36" s="214"/>
      <c r="Z36" s="468">
        <f>SUM(Z27:Z35)</f>
        <v>2512</v>
      </c>
      <c r="AA36" s="492">
        <f>SUM(AA27:AA35)</f>
        <v>6.5578649346106202E-2</v>
      </c>
      <c r="AB36" s="214"/>
      <c r="AC36" s="468">
        <f>SUM(AC27:AC35)</f>
        <v>2512</v>
      </c>
      <c r="AD36" s="492">
        <f>SUM(AD27:AD35)</f>
        <v>6.5578649346106202E-2</v>
      </c>
      <c r="AE36" s="214"/>
      <c r="AF36" s="468">
        <f>SUM(AF27:AF35)</f>
        <v>2512</v>
      </c>
      <c r="AG36" s="492">
        <f>SUM(AG27:AG35)</f>
        <v>6.5578649346106202E-2</v>
      </c>
      <c r="AH36" s="214"/>
      <c r="AI36" s="468">
        <f>SUM(AI27:AI35)</f>
        <v>2512</v>
      </c>
      <c r="AJ36" s="492">
        <f>SUM(AJ27:AJ35)</f>
        <v>6.5578649346106202E-2</v>
      </c>
      <c r="AK36" s="214"/>
      <c r="AL36" s="468">
        <f>SUM(AL27:AL35)</f>
        <v>2512</v>
      </c>
      <c r="AM36" s="492">
        <f>SUM(AM27:AM35)</f>
        <v>6.5578649346106202E-2</v>
      </c>
      <c r="AN36" s="214"/>
      <c r="AO36" s="214"/>
      <c r="AP36" s="469">
        <f>SUM(AP27:AP35)</f>
        <v>30784.368000000002</v>
      </c>
      <c r="AQ36" s="492">
        <f>SUM(AQ27:AQ35)</f>
        <v>5.4455740756341825E-2</v>
      </c>
      <c r="AR36" s="252"/>
      <c r="AS36" s="252"/>
    </row>
    <row r="37" spans="2:54" ht="15" thickTop="1" thickBot="1" x14ac:dyDescent="0.2">
      <c r="B37" s="504"/>
      <c r="C37" s="504"/>
      <c r="D37" s="504"/>
      <c r="E37" s="556"/>
      <c r="F37" s="557"/>
      <c r="G37" s="504"/>
      <c r="H37" s="556"/>
      <c r="I37" s="557"/>
      <c r="J37" s="504"/>
      <c r="K37" s="556"/>
      <c r="L37" s="557"/>
      <c r="M37" s="504"/>
      <c r="N37" s="556"/>
      <c r="O37" s="557"/>
      <c r="P37" s="504"/>
      <c r="Q37" s="556"/>
      <c r="R37" s="557"/>
      <c r="S37" s="504"/>
      <c r="T37" s="556"/>
      <c r="U37" s="557"/>
      <c r="V37" s="504"/>
      <c r="W37" s="556"/>
      <c r="X37" s="557"/>
      <c r="Y37" s="504"/>
      <c r="Z37" s="556"/>
      <c r="AA37" s="557"/>
      <c r="AB37" s="504"/>
      <c r="AC37" s="556"/>
      <c r="AD37" s="557"/>
      <c r="AE37" s="504"/>
      <c r="AF37" s="556"/>
      <c r="AG37" s="557"/>
      <c r="AH37" s="504"/>
      <c r="AI37" s="556"/>
      <c r="AJ37" s="557"/>
      <c r="AK37" s="504"/>
      <c r="AL37" s="556"/>
      <c r="AM37" s="557"/>
      <c r="AN37" s="504"/>
      <c r="AO37" s="504"/>
      <c r="AP37" s="558"/>
      <c r="AQ37" s="557"/>
    </row>
    <row r="38" spans="2:54" ht="15" thickTop="1" thickBot="1" x14ac:dyDescent="0.2">
      <c r="B38" s="924" t="str">
        <f>'État des Résultats'!C21</f>
        <v xml:space="preserve">   Total des coûts de la main-d’œuvre</v>
      </c>
      <c r="C38" s="925"/>
      <c r="D38" s="252"/>
      <c r="E38" s="479">
        <f>+E23+E36</f>
        <v>13038.312</v>
      </c>
      <c r="F38" s="480">
        <f>E38/'État des Résultats'!E14</f>
        <v>0.34038013165331554</v>
      </c>
      <c r="G38" s="252"/>
      <c r="H38" s="479">
        <f>+H23+H36</f>
        <v>18073.056</v>
      </c>
      <c r="I38" s="480">
        <f>H38/'État des Résultats'!H14</f>
        <v>0.580410926965372</v>
      </c>
      <c r="J38" s="252"/>
      <c r="K38" s="479">
        <f>+K23+K36</f>
        <v>13012</v>
      </c>
      <c r="L38" s="480">
        <f>K38/'État des Résultats'!K14</f>
        <v>0.33969322662879531</v>
      </c>
      <c r="M38" s="252"/>
      <c r="N38" s="479">
        <f>+N23+N36</f>
        <v>13012</v>
      </c>
      <c r="O38" s="480">
        <f>N38/'État des Résultats'!N14</f>
        <v>0.31910575834826227</v>
      </c>
      <c r="P38" s="252"/>
      <c r="Q38" s="479">
        <f>+Q23+Q36</f>
        <v>13012</v>
      </c>
      <c r="R38" s="480">
        <f>Q38/'État des Résultats'!Q14</f>
        <v>0.28307768885732942</v>
      </c>
      <c r="S38" s="252"/>
      <c r="T38" s="479">
        <f>+T23+T36</f>
        <v>13012</v>
      </c>
      <c r="U38" s="480">
        <f>T38/'État des Résultats'!T14</f>
        <v>0.23401088945539231</v>
      </c>
      <c r="V38" s="252"/>
      <c r="W38" s="479">
        <f>+W23+W36</f>
        <v>13012</v>
      </c>
      <c r="X38" s="480">
        <f>W38/'État des Résultats'!W14</f>
        <v>0.16984661331439765</v>
      </c>
      <c r="Y38" s="252"/>
      <c r="Z38" s="479">
        <f>+Z23+Z36</f>
        <v>13012</v>
      </c>
      <c r="AA38" s="480">
        <f>Z38/'État des Résultats'!Z14</f>
        <v>0.18871845923821962</v>
      </c>
      <c r="AB38" s="252"/>
      <c r="AC38" s="479">
        <f>+AC23+AC36</f>
        <v>13012</v>
      </c>
      <c r="AD38" s="480">
        <f>AC38/'État des Résultats'!AC14</f>
        <v>0.2925136118192404</v>
      </c>
      <c r="AE38" s="252"/>
      <c r="AF38" s="479">
        <f>+AF23+AF36</f>
        <v>13012</v>
      </c>
      <c r="AG38" s="480">
        <f>AF38/'État des Résultats'!AF14</f>
        <v>0.30881202420799575</v>
      </c>
      <c r="AH38" s="252"/>
      <c r="AI38" s="479">
        <f>+AI23+AI36</f>
        <v>13012</v>
      </c>
      <c r="AJ38" s="480">
        <f>AI38/'État des Résultats'!AI14</f>
        <v>0.35101633418308853</v>
      </c>
      <c r="AK38" s="252"/>
      <c r="AL38" s="479">
        <f>+AL23+AL36</f>
        <v>13012</v>
      </c>
      <c r="AM38" s="480">
        <f>AL38/'État des Résultats'!AL14</f>
        <v>0.28307768885732942</v>
      </c>
      <c r="AN38" s="252"/>
      <c r="AO38" s="252"/>
      <c r="AP38" s="481">
        <f>+AP23+AP36</f>
        <v>161231.36800000002</v>
      </c>
      <c r="AQ38" s="480">
        <f>AP38/'État des Résultats'!AP14</f>
        <v>0.28520882993597096</v>
      </c>
    </row>
    <row r="39" spans="2:54" ht="15" thickTop="1" thickBot="1" x14ac:dyDescent="0.2">
      <c r="B39" s="579"/>
      <c r="C39" s="580"/>
      <c r="D39" s="330"/>
      <c r="E39" s="581"/>
      <c r="F39" s="582"/>
      <c r="G39" s="330"/>
      <c r="H39" s="581"/>
      <c r="I39" s="582"/>
      <c r="J39" s="330"/>
      <c r="K39" s="581"/>
      <c r="L39" s="582"/>
      <c r="M39" s="330"/>
      <c r="N39" s="581"/>
      <c r="O39" s="582"/>
      <c r="P39" s="330"/>
      <c r="Q39" s="581"/>
      <c r="R39" s="582"/>
      <c r="S39" s="330"/>
      <c r="T39" s="581"/>
      <c r="U39" s="582"/>
      <c r="V39" s="330"/>
      <c r="W39" s="581"/>
      <c r="X39" s="582"/>
      <c r="Y39" s="330"/>
      <c r="Z39" s="581"/>
      <c r="AA39" s="582"/>
      <c r="AB39" s="330"/>
      <c r="AC39" s="581"/>
      <c r="AD39" s="582"/>
      <c r="AE39" s="330"/>
      <c r="AF39" s="581"/>
      <c r="AG39" s="582"/>
      <c r="AH39" s="330"/>
      <c r="AI39" s="581"/>
      <c r="AJ39" s="582"/>
      <c r="AK39" s="330"/>
      <c r="AL39" s="581"/>
      <c r="AM39" s="582"/>
      <c r="AN39" s="330"/>
      <c r="AO39" s="330"/>
      <c r="AP39" s="583"/>
      <c r="AQ39" s="582"/>
    </row>
    <row r="40" spans="2:54" ht="14" thickTop="1" x14ac:dyDescent="0.15">
      <c r="B40" s="906" t="s">
        <v>231</v>
      </c>
      <c r="C40" s="907"/>
      <c r="D40" s="584"/>
      <c r="E40" s="588">
        <f>+E27+E31</f>
        <v>1515.3119999999999</v>
      </c>
      <c r="F40" s="589">
        <f>+(E40/E23)</f>
        <v>0.14399999999999999</v>
      </c>
      <c r="G40" s="585"/>
      <c r="H40" s="588">
        <f>+H27+H31</f>
        <v>2149.056</v>
      </c>
      <c r="I40" s="589">
        <f>+(H40/H23)</f>
        <v>0.14399999999999999</v>
      </c>
      <c r="J40" s="585"/>
      <c r="K40" s="588">
        <f>+K27+K31</f>
        <v>1512</v>
      </c>
      <c r="L40" s="589">
        <f>+(K40/K23)</f>
        <v>0.14399999999999999</v>
      </c>
      <c r="M40" s="585"/>
      <c r="N40" s="588">
        <f>+N27+N31</f>
        <v>1512</v>
      </c>
      <c r="O40" s="589">
        <f>+(N40/N23)</f>
        <v>0.14399999999999999</v>
      </c>
      <c r="P40" s="585"/>
      <c r="Q40" s="588">
        <f>+Q27+Q31</f>
        <v>1512</v>
      </c>
      <c r="R40" s="589">
        <f>+(Q40/Q23)</f>
        <v>0.14399999999999999</v>
      </c>
      <c r="S40" s="585"/>
      <c r="T40" s="588">
        <f>+T27+T31</f>
        <v>1512</v>
      </c>
      <c r="U40" s="589">
        <f>+(T40/T23)</f>
        <v>0.14399999999999999</v>
      </c>
      <c r="V40" s="585"/>
      <c r="W40" s="588">
        <f>+W27+W31</f>
        <v>1512</v>
      </c>
      <c r="X40" s="589">
        <f>+(W40/W23)</f>
        <v>0.14399999999999999</v>
      </c>
      <c r="Y40" s="585"/>
      <c r="Z40" s="588">
        <f>+Z27+Z31</f>
        <v>1512</v>
      </c>
      <c r="AA40" s="589">
        <f>+(Z40/Z23)</f>
        <v>0.14399999999999999</v>
      </c>
      <c r="AB40" s="585"/>
      <c r="AC40" s="588">
        <f>+AC27+AC31</f>
        <v>1512</v>
      </c>
      <c r="AD40" s="589">
        <f>+(AC40/AC23)</f>
        <v>0.14399999999999999</v>
      </c>
      <c r="AE40" s="585"/>
      <c r="AF40" s="588">
        <f>+AF27+AF31</f>
        <v>1512</v>
      </c>
      <c r="AG40" s="589">
        <f>+(AF40/AF23)</f>
        <v>0.14399999999999999</v>
      </c>
      <c r="AH40" s="585"/>
      <c r="AI40" s="588">
        <f>+AI27+AI31</f>
        <v>1512</v>
      </c>
      <c r="AJ40" s="589">
        <f>+(AI40/AI23)</f>
        <v>0.14399999999999999</v>
      </c>
      <c r="AK40" s="585"/>
      <c r="AL40" s="588">
        <f>+AL27+AL31</f>
        <v>1512</v>
      </c>
      <c r="AM40" s="589">
        <f>+(AL40/AL23)</f>
        <v>0.14399999999999999</v>
      </c>
      <c r="AN40" s="587"/>
      <c r="AO40" s="586"/>
      <c r="AP40" s="592">
        <f t="shared" ref="AP40:AP41" si="3">SUM(+$AL40+$AI40+$AF40+$AC40+$Z40+$W40+$T40+$Q40+$N40+$K40+$H40+$E40)</f>
        <v>18784.368000000002</v>
      </c>
      <c r="AQ40" s="589">
        <f>+(AP40/AP23)</f>
        <v>0.14400000000000002</v>
      </c>
      <c r="AR40" s="188"/>
      <c r="AS40" s="188"/>
      <c r="AT40" s="188"/>
      <c r="AU40" s="188"/>
      <c r="AV40" s="188"/>
      <c r="AW40" s="188"/>
      <c r="AX40" s="188"/>
      <c r="AY40" s="188"/>
      <c r="AZ40" s="188"/>
      <c r="BA40" s="188"/>
      <c r="BB40" s="188"/>
    </row>
    <row r="41" spans="2:54" ht="14" thickBot="1" x14ac:dyDescent="0.2">
      <c r="B41" s="908" t="s">
        <v>232</v>
      </c>
      <c r="C41" s="909"/>
      <c r="D41" s="509"/>
      <c r="E41" s="590">
        <f>+E36</f>
        <v>2515.3119999999999</v>
      </c>
      <c r="F41" s="591">
        <f>+E41/E23</f>
        <v>0.23902993442934523</v>
      </c>
      <c r="G41" s="259"/>
      <c r="H41" s="590">
        <f>+H36</f>
        <v>3149.056</v>
      </c>
      <c r="I41" s="591">
        <f>+H41/H23</f>
        <v>0.21100616456714019</v>
      </c>
      <c r="J41" s="259"/>
      <c r="K41" s="590">
        <f>+K36</f>
        <v>2512</v>
      </c>
      <c r="L41" s="591">
        <f>+K41/K23</f>
        <v>0.23923809523809525</v>
      </c>
      <c r="M41" s="259"/>
      <c r="N41" s="590">
        <f>+N36</f>
        <v>2512</v>
      </c>
      <c r="O41" s="591">
        <f>+N41/N23</f>
        <v>0.23923809523809525</v>
      </c>
      <c r="P41" s="259"/>
      <c r="Q41" s="590">
        <f>+Q36</f>
        <v>2512</v>
      </c>
      <c r="R41" s="591">
        <f>+Q41/Q23</f>
        <v>0.23923809523809525</v>
      </c>
      <c r="S41" s="259"/>
      <c r="T41" s="590">
        <f>+T36</f>
        <v>2512</v>
      </c>
      <c r="U41" s="591">
        <f>+T41/T23</f>
        <v>0.23923809523809525</v>
      </c>
      <c r="V41" s="259"/>
      <c r="W41" s="590">
        <f>+W36</f>
        <v>2512</v>
      </c>
      <c r="X41" s="591">
        <f>+W41/W23</f>
        <v>0.23923809523809525</v>
      </c>
      <c r="Y41" s="259"/>
      <c r="Z41" s="590">
        <f>+Z36</f>
        <v>2512</v>
      </c>
      <c r="AA41" s="591">
        <f>+Z41/Z23</f>
        <v>0.23923809523809525</v>
      </c>
      <c r="AB41" s="259"/>
      <c r="AC41" s="590">
        <f>+AC36</f>
        <v>2512</v>
      </c>
      <c r="AD41" s="591">
        <f>+AC41/AC23</f>
        <v>0.23923809523809525</v>
      </c>
      <c r="AE41" s="259"/>
      <c r="AF41" s="590">
        <f>+AF36</f>
        <v>2512</v>
      </c>
      <c r="AG41" s="591">
        <f>+AF41/AF23</f>
        <v>0.23923809523809525</v>
      </c>
      <c r="AH41" s="259"/>
      <c r="AI41" s="590">
        <f>+AI36</f>
        <v>2512</v>
      </c>
      <c r="AJ41" s="591">
        <f>+AI41/AI23</f>
        <v>0.23923809523809525</v>
      </c>
      <c r="AK41" s="259"/>
      <c r="AL41" s="590">
        <f>+AL36</f>
        <v>2512</v>
      </c>
      <c r="AM41" s="591">
        <f>+AL41/AL23</f>
        <v>0.23923809523809525</v>
      </c>
      <c r="AN41" s="428"/>
      <c r="AO41" s="432"/>
      <c r="AP41" s="593">
        <f t="shared" si="3"/>
        <v>30784.368000000002</v>
      </c>
      <c r="AQ41" s="591">
        <f>+AP41/AP23</f>
        <v>0.23599138347374798</v>
      </c>
    </row>
    <row r="42" spans="2:54" ht="14" thickTop="1" x14ac:dyDescent="0.15"/>
  </sheetData>
  <sheetProtection algorithmName="SHA-512" hashValue="l1HG6MeXuCs9w/wHiC1sKSNRk6Z3/QknDfS79/NIaLbexoOAxd6NrLLD+Bhk1AJJRYJGYxaVQrDqHcJD7GpFYg==" saltValue="pZssnHnlCgP0Oh5x79wPIw==" spinCount="100000" sheet="1" objects="1" scenarios="1"/>
  <mergeCells count="13">
    <mergeCell ref="AS2:AS8"/>
    <mergeCell ref="BC2:BC8"/>
    <mergeCell ref="B9:C9"/>
    <mergeCell ref="B40:C40"/>
    <mergeCell ref="B41:C41"/>
    <mergeCell ref="B2:C2"/>
    <mergeCell ref="B3:C3"/>
    <mergeCell ref="B4:C4"/>
    <mergeCell ref="B6:C6"/>
    <mergeCell ref="B7:C7"/>
    <mergeCell ref="B8:C8"/>
    <mergeCell ref="B36:C36"/>
    <mergeCell ref="B38:C38"/>
  </mergeCells>
  <pageMargins left="0.75000000000000011" right="0.75000000000000011" top="1" bottom="1" header="0.49" footer="0.49"/>
  <pageSetup paperSize="5" scale="92" fitToWidth="2" orientation="landscape"/>
  <headerFooter>
    <oddFooter>&amp;C&amp;K000000Budget et indicateurs de performance (430-763-Me)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C34F-B750-6248-892B-28A13BD2A3DE}">
  <sheetPr>
    <tabColor theme="1"/>
    <pageSetUpPr fitToPage="1"/>
  </sheetPr>
  <dimension ref="B1:BQ79"/>
  <sheetViews>
    <sheetView zoomScale="125" zoomScaleNormal="125" zoomScalePageLayoutView="125" workbookViewId="0">
      <pane xSplit="3" ySplit="9" topLeftCell="D10" activePane="bottomRight" state="frozen"/>
      <selection pane="topRight" activeCell="D1" sqref="D1"/>
      <selection pane="bottomLeft" activeCell="A8" sqref="A8"/>
      <selection pane="bottomRight"/>
    </sheetView>
  </sheetViews>
  <sheetFormatPr baseColWidth="10" defaultRowHeight="13" x14ac:dyDescent="0.15"/>
  <cols>
    <col min="1" max="1" width="3.33203125" style="161" customWidth="1"/>
    <col min="2" max="2" width="10.83203125" style="161"/>
    <col min="3" max="3" width="42.5" style="161" customWidth="1"/>
    <col min="4" max="4" width="0.83203125" style="161" customWidth="1"/>
    <col min="5" max="5" width="15.6640625" style="161" bestFit="1" customWidth="1"/>
    <col min="6" max="6" width="9.1640625" style="161" bestFit="1" customWidth="1"/>
    <col min="7" max="7" width="0.83203125" style="161" customWidth="1"/>
    <col min="8" max="8" width="15.6640625" style="161" bestFit="1" customWidth="1"/>
    <col min="9" max="9" width="7.83203125" style="161" customWidth="1"/>
    <col min="10" max="10" width="0.83203125" style="161" customWidth="1"/>
    <col min="11" max="11" width="15.6640625" style="161" bestFit="1" customWidth="1"/>
    <col min="12" max="12" width="6.83203125" style="161" customWidth="1"/>
    <col min="13" max="13" width="0.83203125" style="161" customWidth="1"/>
    <col min="14" max="14" width="15.6640625" style="161" bestFit="1" customWidth="1"/>
    <col min="15" max="15" width="6.83203125" style="161" customWidth="1"/>
    <col min="16" max="16" width="0.83203125" style="161" customWidth="1"/>
    <col min="17" max="17" width="14.33203125" style="161" bestFit="1" customWidth="1"/>
    <col min="18" max="18" width="6.83203125" style="161" customWidth="1"/>
    <col min="19" max="19" width="0.83203125" style="161" customWidth="1"/>
    <col min="20" max="20" width="15.6640625" style="161" bestFit="1" customWidth="1"/>
    <col min="21" max="21" width="6.83203125" style="161" customWidth="1"/>
    <col min="22" max="22" width="0.83203125" style="161" customWidth="1"/>
    <col min="23" max="23" width="15.6640625" style="161" bestFit="1" customWidth="1"/>
    <col min="24" max="24" width="6.83203125" style="161" customWidth="1"/>
    <col min="25" max="25" width="0.83203125" style="161" customWidth="1"/>
    <col min="26" max="26" width="15.6640625" style="161" bestFit="1" customWidth="1"/>
    <col min="27" max="27" width="6.83203125" style="161" customWidth="1"/>
    <col min="28" max="28" width="0.83203125" style="161" customWidth="1"/>
    <col min="29" max="29" width="15.6640625" style="161" bestFit="1" customWidth="1"/>
    <col min="30" max="30" width="6.83203125" style="161" customWidth="1"/>
    <col min="31" max="31" width="0.83203125" style="161" customWidth="1"/>
    <col min="32" max="32" width="15.6640625" style="161" bestFit="1" customWidth="1"/>
    <col min="33" max="33" width="6.83203125" style="161" customWidth="1"/>
    <col min="34" max="34" width="0.83203125" style="161" customWidth="1"/>
    <col min="35" max="35" width="15.6640625" style="161" bestFit="1" customWidth="1"/>
    <col min="36" max="36" width="6.83203125" style="161" customWidth="1"/>
    <col min="37" max="37" width="0.83203125" style="161" customWidth="1"/>
    <col min="38" max="38" width="15.6640625" style="161" bestFit="1" customWidth="1"/>
    <col min="39" max="39" width="6.83203125" style="161" customWidth="1"/>
    <col min="40" max="41" width="0.83203125" style="161" customWidth="1"/>
    <col min="42" max="42" width="15.6640625" style="161" bestFit="1" customWidth="1"/>
    <col min="43" max="43" width="8.1640625" style="161" customWidth="1"/>
    <col min="44" max="44" width="2.5" style="161" customWidth="1"/>
    <col min="45" max="45" width="8.5" style="161" bestFit="1" customWidth="1"/>
    <col min="46" max="46" width="22.832031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930" t="str">
        <f>'État des Résultats'!C2</f>
        <v xml:space="preserve">Entreprise de restauration alimentaire 12 inc. </v>
      </c>
      <c r="C2" s="931"/>
      <c r="AS2" s="898" t="s">
        <v>42</v>
      </c>
      <c r="AT2" s="369"/>
      <c r="AU2" s="369"/>
      <c r="AV2" s="369"/>
      <c r="AW2" s="369"/>
      <c r="AX2" s="369"/>
      <c r="AY2" s="369"/>
      <c r="AZ2" s="369"/>
      <c r="BA2" s="369"/>
      <c r="BB2" s="369"/>
      <c r="BC2" s="901" t="s">
        <v>43</v>
      </c>
    </row>
    <row r="3" spans="2:55" ht="20" customHeight="1" x14ac:dyDescent="0.2">
      <c r="B3" s="932" t="str">
        <f>'État des Résultats'!C3</f>
        <v xml:space="preserve">États des résultats prévisionnels </v>
      </c>
      <c r="C3" s="933"/>
      <c r="AS3" s="899"/>
      <c r="AT3" s="370"/>
      <c r="AU3" s="370"/>
      <c r="AV3" s="370"/>
      <c r="AW3" s="370"/>
      <c r="AX3" s="370"/>
      <c r="AY3" s="370"/>
      <c r="AZ3" s="370"/>
      <c r="BA3" s="370"/>
      <c r="BB3" s="370"/>
      <c r="BC3" s="902"/>
    </row>
    <row r="4" spans="2:55" ht="20" customHeight="1" thickBot="1" x14ac:dyDescent="0.3">
      <c r="B4" s="934" t="str">
        <f>'État des Résultats'!C4</f>
        <v>Pour la période du 1er janvier 2021 au 31 décembre 2021</v>
      </c>
      <c r="C4" s="93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5" ht="21" thickTop="1" thickBot="1" x14ac:dyDescent="0.3">
      <c r="B5" s="330"/>
      <c r="C5" s="210"/>
      <c r="P5" s="210"/>
      <c r="AS5" s="899"/>
      <c r="AT5" s="372" t="s">
        <v>2</v>
      </c>
      <c r="AU5" s="373"/>
      <c r="AV5" s="372"/>
      <c r="AW5" s="373"/>
      <c r="AX5" s="373"/>
      <c r="AY5" s="373"/>
      <c r="AZ5" s="373"/>
      <c r="BA5" s="373"/>
      <c r="BB5" s="373"/>
      <c r="BC5" s="902"/>
    </row>
    <row r="6" spans="2:55" ht="27" thickTop="1" x14ac:dyDescent="0.3">
      <c r="B6" s="936" t="str">
        <f>'État des Résultats'!C6</f>
        <v>Nb de places</v>
      </c>
      <c r="C6" s="917"/>
      <c r="D6" s="201"/>
      <c r="E6" s="603" t="s">
        <v>173</v>
      </c>
      <c r="F6" s="602">
        <f>E69/$B$7/'Calendrier 2021'!D8</f>
        <v>7.7666529032258067</v>
      </c>
      <c r="G6" s="170"/>
      <c r="H6" s="603" t="str">
        <f>+E6</f>
        <v>Coût / place / jour</v>
      </c>
      <c r="I6" s="602">
        <f>H69/$B$7/'Calendrier 2021'!E8</f>
        <v>12.195040000000001</v>
      </c>
      <c r="J6" s="170"/>
      <c r="K6" s="603" t="str">
        <f>+H6</f>
        <v>Coût / place / jour</v>
      </c>
      <c r="L6" s="602">
        <f>K69/$B$7/'Calendrier 2021'!F8</f>
        <v>7.749677419354839</v>
      </c>
      <c r="M6" s="170"/>
      <c r="N6" s="603" t="str">
        <f>+K6</f>
        <v>Coût / place / jour</v>
      </c>
      <c r="O6" s="602">
        <f>N69/$B$7/'Calendrier 2021'!G8</f>
        <v>8.0080000000000009</v>
      </c>
      <c r="P6" s="382"/>
      <c r="Q6" s="381" t="str">
        <f>+N6</f>
        <v>Coût / place / jour</v>
      </c>
      <c r="R6" s="602">
        <f>Q69/$B$7/'Calendrier 2021'!H8</f>
        <v>7.749677419354839</v>
      </c>
      <c r="S6" s="382"/>
      <c r="T6" s="603" t="str">
        <f>+Q6</f>
        <v>Coût / place / jour</v>
      </c>
      <c r="U6" s="602">
        <f>T69/$B$7/'Calendrier 2021'!I8</f>
        <v>8.0080000000000009</v>
      </c>
      <c r="V6" s="170"/>
      <c r="W6" s="603" t="str">
        <f>+T6</f>
        <v>Coût / place / jour</v>
      </c>
      <c r="X6" s="602">
        <f>W69/$B$7/'Calendrier 2021'!J8</f>
        <v>7.749677419354839</v>
      </c>
      <c r="Y6" s="641"/>
      <c r="Z6" s="603" t="str">
        <f>+W6</f>
        <v>Coût / place / jour</v>
      </c>
      <c r="AA6" s="602">
        <f>Z69/$B$7/'Calendrier 2021'!K8</f>
        <v>7.749677419354839</v>
      </c>
      <c r="AB6" s="170"/>
      <c r="AC6" s="603" t="str">
        <f>+Z6</f>
        <v>Coût / place / jour</v>
      </c>
      <c r="AD6" s="602">
        <f>AC69/$B$7/'Calendrier 2021'!L8</f>
        <v>8.0080000000000009</v>
      </c>
      <c r="AE6" s="170"/>
      <c r="AF6" s="603" t="str">
        <f>+AC6</f>
        <v>Coût / place / jour</v>
      </c>
      <c r="AG6" s="602">
        <f>AF69/$B$7/'Calendrier 2021'!M8</f>
        <v>7.749677419354839</v>
      </c>
      <c r="AH6" s="641"/>
      <c r="AI6" s="603" t="str">
        <f>+AF6</f>
        <v>Coût / place / jour</v>
      </c>
      <c r="AJ6" s="602">
        <f>AI69/$B$7/'Calendrier 2021'!N8</f>
        <v>8.0080000000000009</v>
      </c>
      <c r="AK6" s="655"/>
      <c r="AL6" s="603" t="str">
        <f>+AI6</f>
        <v>Coût / place / jour</v>
      </c>
      <c r="AM6" s="602">
        <f>AL69/$B$7/'Calendrier 2021'!O8</f>
        <v>7.749677419354839</v>
      </c>
      <c r="AN6" s="641"/>
      <c r="AO6" s="170"/>
      <c r="AP6" s="659" t="str">
        <f>+AL6</f>
        <v>Coût / place / jour</v>
      </c>
      <c r="AQ6" s="660">
        <f>AP69/$B$7/'% Occupation'!P8</f>
        <v>8.1770612602739732</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5" ht="21" x14ac:dyDescent="0.25">
      <c r="B7" s="937">
        <f>'État des Résultats'!C7</f>
        <v>50</v>
      </c>
      <c r="C7" s="919"/>
      <c r="D7" s="191"/>
      <c r="E7" s="625">
        <f>E69/$AP$69</f>
        <v>8.0668777357854132E-2</v>
      </c>
      <c r="F7" s="626"/>
      <c r="G7" s="385"/>
      <c r="H7" s="625">
        <f>H69/$AP$69</f>
        <v>0.11440661724685121</v>
      </c>
      <c r="I7" s="626"/>
      <c r="J7" s="385"/>
      <c r="K7" s="625">
        <f>K69/$AP$69</f>
        <v>8.0492460539529451E-2</v>
      </c>
      <c r="L7" s="626"/>
      <c r="M7" s="385"/>
      <c r="N7" s="625">
        <f>N69/$AP$69</f>
        <v>8.0492460539529451E-2</v>
      </c>
      <c r="O7" s="626" t="s">
        <v>2</v>
      </c>
      <c r="P7" s="386"/>
      <c r="Q7" s="383">
        <f>Q69/$AP$69</f>
        <v>8.0492460539529451E-2</v>
      </c>
      <c r="R7" s="384"/>
      <c r="S7" s="386"/>
      <c r="T7" s="625">
        <f>T69/$AP$69</f>
        <v>8.0492460539529451E-2</v>
      </c>
      <c r="U7" s="626"/>
      <c r="V7" s="385"/>
      <c r="W7" s="625">
        <f>W69/$AP$69</f>
        <v>8.0492460539529451E-2</v>
      </c>
      <c r="X7" s="626"/>
      <c r="Y7" s="642"/>
      <c r="Z7" s="625">
        <f>Z69/$AP$69</f>
        <v>8.0492460539529451E-2</v>
      </c>
      <c r="AA7" s="626"/>
      <c r="AB7" s="385"/>
      <c r="AC7" s="625">
        <f>AC69/$AP$69</f>
        <v>8.0492460539529451E-2</v>
      </c>
      <c r="AD7" s="626"/>
      <c r="AE7" s="385"/>
      <c r="AF7" s="625">
        <f>AF69/$AP$69</f>
        <v>8.0492460539529451E-2</v>
      </c>
      <c r="AG7" s="626"/>
      <c r="AH7" s="642"/>
      <c r="AI7" s="625">
        <f>AI69/$AP$69</f>
        <v>8.0492460539529451E-2</v>
      </c>
      <c r="AJ7" s="626"/>
      <c r="AK7" s="656"/>
      <c r="AL7" s="625">
        <f>AL69/$AP$69</f>
        <v>8.0492460539529451E-2</v>
      </c>
      <c r="AM7" s="626"/>
      <c r="AN7" s="642"/>
      <c r="AO7" s="385"/>
      <c r="AP7" s="661">
        <f>SUM(+$AL7+$AI7+$AF7+$AC7+$Z7+$W7+$T7+$Q7+$N7+$K7+$H7+$E7)</f>
        <v>0.99999999999999978</v>
      </c>
      <c r="AQ7" s="662"/>
      <c r="AR7" s="385"/>
      <c r="AS7" s="899"/>
      <c r="AT7" s="684">
        <f>AP69</f>
        <v>149231.36800000002</v>
      </c>
      <c r="AU7" s="371" t="s">
        <v>44</v>
      </c>
      <c r="AV7" s="685">
        <f>'Formule pour le calcul D'!G106</f>
        <v>22875</v>
      </c>
      <c r="AW7" s="371" t="s">
        <v>45</v>
      </c>
      <c r="AX7" s="371" t="s">
        <v>46</v>
      </c>
      <c r="AY7" s="686">
        <f>'Formule pour le calcul D'!J106</f>
        <v>2.2200000000000002</v>
      </c>
      <c r="AZ7" s="371" t="s">
        <v>45</v>
      </c>
      <c r="BA7" s="687">
        <f>AT7/AV7/AY7</f>
        <v>2.9386376803032541</v>
      </c>
      <c r="BB7" s="371" t="s">
        <v>49</v>
      </c>
      <c r="BC7" s="902"/>
    </row>
    <row r="8" spans="2:55" ht="17" thickBot="1" x14ac:dyDescent="0.25">
      <c r="B8" s="938" t="s">
        <v>197</v>
      </c>
      <c r="C8" s="921"/>
      <c r="D8" s="191"/>
      <c r="E8" s="648" t="str">
        <f>'État des Résultats'!E8</f>
        <v>Pér.01</v>
      </c>
      <c r="F8" s="636" t="str">
        <f>'État des Résultats'!F8</f>
        <v>(%)</v>
      </c>
      <c r="G8" s="188"/>
      <c r="H8" s="648" t="str">
        <f>'État des Résultats'!H8</f>
        <v>Pér.02</v>
      </c>
      <c r="I8" s="636" t="str">
        <f>F8</f>
        <v>(%)</v>
      </c>
      <c r="J8" s="188"/>
      <c r="K8" s="648" t="str">
        <f>'État des Résultats'!K8</f>
        <v>Pér.03</v>
      </c>
      <c r="L8" s="636" t="str">
        <f>I8</f>
        <v>(%)</v>
      </c>
      <c r="M8" s="188"/>
      <c r="N8" s="648" t="str">
        <f>'État des Résultats'!N8</f>
        <v>Pér.04</v>
      </c>
      <c r="O8" s="636" t="str">
        <f>L8</f>
        <v>(%)</v>
      </c>
      <c r="P8" s="389"/>
      <c r="Q8" s="387" t="str">
        <f>'État des Résultats'!Q8</f>
        <v>Pér.05</v>
      </c>
      <c r="R8" s="388" t="str">
        <f>O8</f>
        <v>(%)</v>
      </c>
      <c r="S8" s="389"/>
      <c r="T8" s="648" t="str">
        <f>'État des Résultats'!T8</f>
        <v>Pér.06</v>
      </c>
      <c r="U8" s="636" t="str">
        <f>R8</f>
        <v>(%)</v>
      </c>
      <c r="V8" s="188"/>
      <c r="W8" s="648" t="str">
        <f>'État des Résultats'!W8</f>
        <v>Pér.07</v>
      </c>
      <c r="X8" s="636" t="str">
        <f>U8</f>
        <v>(%)</v>
      </c>
      <c r="Y8" s="643"/>
      <c r="Z8" s="648" t="str">
        <f>'État des Résultats'!Z8</f>
        <v>Pér.08</v>
      </c>
      <c r="AA8" s="636" t="str">
        <f>X8</f>
        <v>(%)</v>
      </c>
      <c r="AB8" s="188"/>
      <c r="AC8" s="648" t="str">
        <f>'État des Résultats'!AC8</f>
        <v>Pér.09</v>
      </c>
      <c r="AD8" s="636" t="str">
        <f>AA8</f>
        <v>(%)</v>
      </c>
      <c r="AE8" s="188"/>
      <c r="AF8" s="648" t="str">
        <f>'État des Résultats'!AF8</f>
        <v>Pér.10</v>
      </c>
      <c r="AG8" s="636" t="str">
        <f>AD8</f>
        <v>(%)</v>
      </c>
      <c r="AH8" s="643"/>
      <c r="AI8" s="648" t="str">
        <f>'État des Résultats'!AI8</f>
        <v>Pér.11</v>
      </c>
      <c r="AJ8" s="636" t="str">
        <f>AG8</f>
        <v>(%)</v>
      </c>
      <c r="AK8" s="657"/>
      <c r="AL8" s="648" t="str">
        <f>'État des Résultats'!AL8</f>
        <v>Pér.12</v>
      </c>
      <c r="AM8" s="636" t="str">
        <f>AJ8</f>
        <v>(%)</v>
      </c>
      <c r="AN8" s="643"/>
      <c r="AO8" s="188"/>
      <c r="AP8" s="663" t="str">
        <f>'État des Résultats'!AP8</f>
        <v>Total</v>
      </c>
      <c r="AQ8" s="664" t="str">
        <f>AM8</f>
        <v>(%)</v>
      </c>
      <c r="AR8" s="188"/>
      <c r="AS8" s="900"/>
      <c r="AT8" s="376"/>
      <c r="AU8" s="376"/>
      <c r="AV8" s="376"/>
      <c r="AW8" s="376"/>
      <c r="AX8" s="376"/>
      <c r="AY8" s="376"/>
      <c r="AZ8" s="376"/>
      <c r="BA8" s="376"/>
      <c r="BB8" s="376"/>
      <c r="BC8" s="903"/>
    </row>
    <row r="9" spans="2:55" ht="15" thickTop="1" thickBot="1" x14ac:dyDescent="0.2">
      <c r="B9" s="926">
        <f>AP69/B7</f>
        <v>2984.6273600000004</v>
      </c>
      <c r="C9" s="927"/>
      <c r="D9" s="191"/>
      <c r="E9" s="649" t="str">
        <f>'État des Résultats'!E9</f>
        <v>Janvier 2021</v>
      </c>
      <c r="F9" s="650"/>
      <c r="G9" s="391"/>
      <c r="H9" s="649" t="str">
        <f>'État des Résultats'!H9</f>
        <v>Février 2021</v>
      </c>
      <c r="I9" s="651"/>
      <c r="J9" s="391"/>
      <c r="K9" s="649" t="str">
        <f>'État des Résultats'!K9</f>
        <v>Mars 2021</v>
      </c>
      <c r="L9" s="651"/>
      <c r="M9" s="391"/>
      <c r="N9" s="649" t="str">
        <f>'État des Résultats'!N9</f>
        <v>Avril 2021</v>
      </c>
      <c r="O9" s="652"/>
      <c r="P9" s="393"/>
      <c r="Q9" s="390" t="str">
        <f>'État des Résultats'!Q9</f>
        <v>Mai 2021</v>
      </c>
      <c r="R9" s="392"/>
      <c r="S9" s="393"/>
      <c r="T9" s="653" t="str">
        <f>'État des Résultats'!T9</f>
        <v>Juin 2021</v>
      </c>
      <c r="U9" s="651"/>
      <c r="V9" s="391"/>
      <c r="W9" s="653" t="str">
        <f>'État des Résultats'!W9</f>
        <v>Juillet 2021</v>
      </c>
      <c r="X9" s="651"/>
      <c r="Y9" s="643"/>
      <c r="Z9" s="653" t="str">
        <f>'État des Résultats'!Z9</f>
        <v>Août 2021</v>
      </c>
      <c r="AA9" s="651"/>
      <c r="AB9" s="391"/>
      <c r="AC9" s="653" t="str">
        <f>'État des Résultats'!AC9</f>
        <v>Septembre 2021</v>
      </c>
      <c r="AD9" s="651"/>
      <c r="AE9" s="391"/>
      <c r="AF9" s="653" t="str">
        <f>'État des Résultats'!AF9</f>
        <v>Octobre 2021</v>
      </c>
      <c r="AG9" s="651"/>
      <c r="AH9" s="654"/>
      <c r="AI9" s="653" t="str">
        <f>'État des Résultats'!AI9</f>
        <v>Novembre 2021</v>
      </c>
      <c r="AJ9" s="651"/>
      <c r="AK9" s="658"/>
      <c r="AL9" s="653" t="str">
        <f>'État des Résultats'!AL9</f>
        <v>Décembre 2021</v>
      </c>
      <c r="AM9" s="651"/>
      <c r="AN9" s="654"/>
      <c r="AO9" s="391"/>
      <c r="AP9" s="665" t="str">
        <f>'État des Résultats'!AP9</f>
        <v>Année</v>
      </c>
      <c r="AQ9" s="666"/>
      <c r="AR9" s="391"/>
      <c r="AS9"/>
      <c r="AT9" s="391"/>
    </row>
    <row r="10" spans="2:55" ht="15" thickTop="1" thickBot="1" x14ac:dyDescent="0.2">
      <c r="B10" s="502"/>
      <c r="C10" s="503"/>
      <c r="D10" s="504"/>
      <c r="E10" s="505"/>
      <c r="F10" s="506"/>
      <c r="G10" s="504"/>
      <c r="H10" s="507"/>
      <c r="I10" s="508"/>
      <c r="J10" s="504"/>
      <c r="K10" s="507"/>
      <c r="L10" s="508"/>
      <c r="M10" s="504"/>
      <c r="N10" s="507"/>
      <c r="O10" s="508"/>
      <c r="P10" s="509"/>
      <c r="Q10" s="507"/>
      <c r="R10" s="508"/>
      <c r="S10" s="504"/>
      <c r="T10" s="507"/>
      <c r="U10" s="508"/>
      <c r="V10" s="504"/>
      <c r="W10" s="507"/>
      <c r="X10" s="508"/>
      <c r="Y10" s="504"/>
      <c r="Z10" s="507"/>
      <c r="AA10" s="508"/>
      <c r="AB10" s="504"/>
      <c r="AC10" s="507"/>
      <c r="AD10" s="508"/>
      <c r="AE10" s="504"/>
      <c r="AF10" s="507"/>
      <c r="AG10" s="508"/>
      <c r="AH10" s="504"/>
      <c r="AI10" s="507"/>
      <c r="AJ10" s="508"/>
      <c r="AK10" s="504"/>
      <c r="AL10" s="507"/>
      <c r="AM10" s="508"/>
      <c r="AN10" s="504"/>
      <c r="AO10" s="504"/>
      <c r="AP10" s="510"/>
      <c r="AQ10" s="511"/>
    </row>
    <row r="11" spans="2:55" ht="18" customHeight="1" thickTop="1" thickBot="1" x14ac:dyDescent="0.2">
      <c r="B11" s="536"/>
      <c r="C11" s="537" t="str">
        <f>' Total des coûts de MO'!C13</f>
        <v>Salaires "Management"</v>
      </c>
      <c r="D11" s="191"/>
      <c r="E11" s="541"/>
      <c r="F11" s="542"/>
      <c r="H11" s="541"/>
      <c r="I11" s="542"/>
      <c r="K11" s="541"/>
      <c r="L11" s="542"/>
      <c r="N11" s="541"/>
      <c r="O11" s="542"/>
      <c r="Q11" s="541"/>
      <c r="R11" s="542"/>
      <c r="T11" s="541"/>
      <c r="U11" s="542"/>
      <c r="W11" s="541"/>
      <c r="X11" s="542"/>
      <c r="Z11" s="541"/>
      <c r="AA11" s="542"/>
      <c r="AC11" s="541"/>
      <c r="AD11" s="542"/>
      <c r="AF11" s="541"/>
      <c r="AG11" s="542"/>
      <c r="AI11" s="541"/>
      <c r="AJ11" s="542"/>
      <c r="AK11" s="201"/>
      <c r="AL11" s="541"/>
      <c r="AM11" s="542"/>
      <c r="AP11" s="543"/>
      <c r="AQ11" s="544"/>
    </row>
    <row r="12" spans="2:55" ht="14" thickTop="1" x14ac:dyDescent="0.15">
      <c r="B12" s="191">
        <f>' Total des coûts de MO'!B13</f>
        <v>6110</v>
      </c>
      <c r="C12" s="394" t="str">
        <f>' Total des coûts de MO'!C11</f>
        <v>Salaires</v>
      </c>
      <c r="D12" s="191"/>
      <c r="E12" s="395">
        <v>2000</v>
      </c>
      <c r="F12" s="488">
        <f>E12/'État des Résultats'!E14</f>
        <v>5.221230043479793E-2</v>
      </c>
      <c r="G12" s="396">
        <v>2.0471491084515695E-6</v>
      </c>
      <c r="H12" s="395">
        <v>2000</v>
      </c>
      <c r="I12" s="488">
        <f>H12/'État des Résultats'!H14</f>
        <v>6.4229417201537131E-2</v>
      </c>
      <c r="K12" s="395">
        <v>2000</v>
      </c>
      <c r="L12" s="488">
        <f>K12/'État des Résultats'!K14</f>
        <v>5.221230043479793E-2</v>
      </c>
      <c r="N12" s="395">
        <v>2000</v>
      </c>
      <c r="O12" s="488">
        <f>N12/'État des Résultats'!N14</f>
        <v>4.9047918590264722E-2</v>
      </c>
      <c r="Q12" s="395">
        <v>2000</v>
      </c>
      <c r="R12" s="488">
        <f>Q12/'État des Résultats'!Q14</f>
        <v>4.3510250362331603E-2</v>
      </c>
      <c r="T12" s="395">
        <v>2000</v>
      </c>
      <c r="U12" s="488">
        <f>T12/'État des Résultats'!T14</f>
        <v>3.5968473632860792E-2</v>
      </c>
      <c r="W12" s="395">
        <v>2000</v>
      </c>
      <c r="X12" s="488">
        <f>W12/'État des Résultats'!W14</f>
        <v>2.6106150217398965E-2</v>
      </c>
      <c r="Z12" s="395">
        <v>2000</v>
      </c>
      <c r="AA12" s="488">
        <f>Z12/'État des Résultats'!Z14</f>
        <v>2.9006833574887737E-2</v>
      </c>
      <c r="AC12" s="395">
        <v>2000</v>
      </c>
      <c r="AD12" s="488">
        <f>AC12/'État des Résultats'!AC14</f>
        <v>4.4960592041075997E-2</v>
      </c>
      <c r="AF12" s="395">
        <v>2000</v>
      </c>
      <c r="AG12" s="488">
        <f>AF12/'État des Résultats'!AF14</f>
        <v>4.7465727667998121E-2</v>
      </c>
      <c r="AI12" s="395">
        <v>2000</v>
      </c>
      <c r="AJ12" s="488">
        <f>AI12/'État des Résultats'!AI14</f>
        <v>5.3952710449291195E-2</v>
      </c>
      <c r="AK12" s="201"/>
      <c r="AL12" s="395">
        <v>2000</v>
      </c>
      <c r="AM12" s="488">
        <f>AL12/'État des Résultats'!AL14</f>
        <v>4.3510250362331603E-2</v>
      </c>
      <c r="AP12" s="482">
        <f>SUM(+$AL12+$AI12+$AF12+$AC12+$Z12+$W12+$T12+$Q12+$N12+$K12+$H12+$E12)</f>
        <v>24000</v>
      </c>
      <c r="AQ12" s="483">
        <f>AP12/'État des Résultats'!AP14</f>
        <v>4.245459182895045E-2</v>
      </c>
    </row>
    <row r="13" spans="2:55" x14ac:dyDescent="0.15">
      <c r="B13" s="191">
        <f>' Total des coûts de MO'!B27</f>
        <v>6205</v>
      </c>
      <c r="C13" s="394" t="str">
        <f>' Total des coûts de MO'!C27</f>
        <v>Bénéfices gouvernementaux</v>
      </c>
      <c r="D13" s="191"/>
      <c r="E13" s="397">
        <f>+E12*$H$76</f>
        <v>240</v>
      </c>
      <c r="F13" s="398">
        <f>E13/'État des Résultats'!E14</f>
        <v>6.2654760521757514E-3</v>
      </c>
      <c r="H13" s="397">
        <f>+H12*$H$76</f>
        <v>240</v>
      </c>
      <c r="I13" s="398">
        <f>H13/'État des Résultats'!H14</f>
        <v>7.7075300641844561E-3</v>
      </c>
      <c r="K13" s="397">
        <f>+K12*$H$76</f>
        <v>240</v>
      </c>
      <c r="L13" s="398">
        <f>K13/'État des Résultats'!K14</f>
        <v>6.2654760521757514E-3</v>
      </c>
      <c r="N13" s="397">
        <f>+N12*$H$76</f>
        <v>240</v>
      </c>
      <c r="O13" s="398">
        <f>N13/'État des Résultats'!N14</f>
        <v>5.8857502308317664E-3</v>
      </c>
      <c r="Q13" s="397">
        <f>+Q12*$H$76</f>
        <v>240</v>
      </c>
      <c r="R13" s="398">
        <f>Q13/'État des Résultats'!Q14</f>
        <v>5.2212300434797921E-3</v>
      </c>
      <c r="T13" s="397">
        <f>+T12*$H$76</f>
        <v>240</v>
      </c>
      <c r="U13" s="398">
        <f>T13/'État des Résultats'!T14</f>
        <v>4.3162168359432949E-3</v>
      </c>
      <c r="W13" s="397">
        <f>+W12*$H$76</f>
        <v>240</v>
      </c>
      <c r="X13" s="398">
        <f>W13/'État des Résultats'!W14</f>
        <v>3.1327380260878757E-3</v>
      </c>
      <c r="Z13" s="397">
        <f>+Z12*$H$76</f>
        <v>240</v>
      </c>
      <c r="AA13" s="398">
        <f>Z13/'État des Résultats'!Z14</f>
        <v>3.4808200289865284E-3</v>
      </c>
      <c r="AC13" s="397">
        <f>+AC12*$H$76</f>
        <v>240</v>
      </c>
      <c r="AD13" s="398">
        <f>AC13/'État des Résultats'!AC14</f>
        <v>5.3952710449291195E-3</v>
      </c>
      <c r="AF13" s="397">
        <f>+AF12*$H$76</f>
        <v>240</v>
      </c>
      <c r="AG13" s="398">
        <f>AF13/'État des Résultats'!AF14</f>
        <v>5.6958873201597739E-3</v>
      </c>
      <c r="AI13" s="397">
        <f>+AI12*$H$76</f>
        <v>240</v>
      </c>
      <c r="AJ13" s="398">
        <f>AI13/'État des Résultats'!AI14</f>
        <v>6.4743252539149433E-3</v>
      </c>
      <c r="AK13" s="201"/>
      <c r="AL13" s="397">
        <f>+AL12*$H$76</f>
        <v>240</v>
      </c>
      <c r="AM13" s="398">
        <f>AL13/'État des Résultats'!AL14</f>
        <v>5.2212300434797921E-3</v>
      </c>
      <c r="AP13" s="482">
        <f>SUM(+$AL13+$AI13+$AF13+$AC13+$Z13+$W13+$T13+$Q13+$N13+$K13+$H13+$E13)</f>
        <v>2880</v>
      </c>
      <c r="AQ13" s="484">
        <f>AP13/'État des Résultats'!AP14</f>
        <v>5.0945510194740536E-3</v>
      </c>
    </row>
    <row r="14" spans="2:55" ht="14" thickBot="1" x14ac:dyDescent="0.2">
      <c r="B14" s="191">
        <f>' Total des coûts de MO'!B31</f>
        <v>6245</v>
      </c>
      <c r="C14" s="394" t="str">
        <f>' Total des coûts de MO'!C31</f>
        <v>CSST et CNT</v>
      </c>
      <c r="D14" s="191"/>
      <c r="E14" s="397">
        <f>(E12/100)*$F$72</f>
        <v>48</v>
      </c>
      <c r="F14" s="398">
        <f>E14/'État des Résultats'!E14</f>
        <v>1.2530952104351503E-3</v>
      </c>
      <c r="H14" s="397">
        <f>(H12/100)*$F$72</f>
        <v>48</v>
      </c>
      <c r="I14" s="398">
        <f>H14/'État des Résultats'!H14</f>
        <v>1.5415060128368913E-3</v>
      </c>
      <c r="K14" s="397">
        <f>(K12/100)*$F$72</f>
        <v>48</v>
      </c>
      <c r="L14" s="398">
        <f>K14/'État des Résultats'!K14</f>
        <v>1.2530952104351503E-3</v>
      </c>
      <c r="N14" s="397">
        <f>(N12/100)*$F$72</f>
        <v>48</v>
      </c>
      <c r="O14" s="398">
        <f>N14/'État des Résultats'!N14</f>
        <v>1.1771500461663531E-3</v>
      </c>
      <c r="Q14" s="397">
        <f>(Q12/100)*$F$72</f>
        <v>48</v>
      </c>
      <c r="R14" s="398">
        <f>Q14/'État des Résultats'!Q14</f>
        <v>1.0442460086959584E-3</v>
      </c>
      <c r="T14" s="397">
        <f>(T12/100)*$F$72</f>
        <v>48</v>
      </c>
      <c r="U14" s="398">
        <f>T14/'État des Résultats'!T14</f>
        <v>8.6324336718865901E-4</v>
      </c>
      <c r="W14" s="397">
        <f>(W12/100)*$F$72</f>
        <v>48</v>
      </c>
      <c r="X14" s="398">
        <f>W14/'État des Résultats'!W14</f>
        <v>6.2654760521757514E-4</v>
      </c>
      <c r="Z14" s="397">
        <f>(Z12/100)*$F$72</f>
        <v>48</v>
      </c>
      <c r="AA14" s="398">
        <f>Z14/'État des Résultats'!Z14</f>
        <v>6.9616400579730576E-4</v>
      </c>
      <c r="AC14" s="397">
        <f>(AC12/100)*$F$72</f>
        <v>48</v>
      </c>
      <c r="AD14" s="398">
        <f>AC14/'État des Résultats'!AC14</f>
        <v>1.079054208985824E-3</v>
      </c>
      <c r="AF14" s="397">
        <f>(AF12/100)*$F$72</f>
        <v>48</v>
      </c>
      <c r="AG14" s="398">
        <f>AF14/'État des Résultats'!AF14</f>
        <v>1.1391774640319549E-3</v>
      </c>
      <c r="AI14" s="397">
        <f>(AI12/100)*$F$72</f>
        <v>48</v>
      </c>
      <c r="AJ14" s="398">
        <f>AI14/'État des Résultats'!AI14</f>
        <v>1.2948650507829888E-3</v>
      </c>
      <c r="AK14" s="201"/>
      <c r="AL14" s="397">
        <f>(AL12/100)*$F$72</f>
        <v>48</v>
      </c>
      <c r="AM14" s="398">
        <f>AL14/'État des Résultats'!AL14</f>
        <v>1.0442460086959584E-3</v>
      </c>
      <c r="AP14" s="482">
        <f>SUM(+$AL14+$AI14+$AF14+$AC14+$Z14+$W14+$T14+$Q14+$N14+$K14+$H14+$E14)</f>
        <v>576</v>
      </c>
      <c r="AQ14" s="484">
        <f>AP14/'État des Résultats'!AP14</f>
        <v>1.0189102038948108E-3</v>
      </c>
    </row>
    <row r="15" spans="2:55" ht="15" thickTop="1" thickBot="1" x14ac:dyDescent="0.2">
      <c r="B15" s="499"/>
      <c r="C15" s="500" t="s">
        <v>220</v>
      </c>
      <c r="D15" s="401"/>
      <c r="E15" s="402">
        <f>SUM(E12:E14)</f>
        <v>2288</v>
      </c>
      <c r="F15" s="403">
        <f>E15/'État des Résultats'!E14</f>
        <v>5.973087169740883E-2</v>
      </c>
      <c r="G15" s="214"/>
      <c r="H15" s="402">
        <f>SUM(H12:H14)</f>
        <v>2288</v>
      </c>
      <c r="I15" s="403">
        <f>H15/'État des Résultats'!H14</f>
        <v>7.3478453278558481E-2</v>
      </c>
      <c r="J15" s="214"/>
      <c r="K15" s="402">
        <f>SUM(K12:K14)</f>
        <v>2288</v>
      </c>
      <c r="L15" s="403">
        <f>K15/'État des Résultats'!K14</f>
        <v>5.973087169740883E-2</v>
      </c>
      <c r="M15" s="214"/>
      <c r="N15" s="402">
        <f>SUM(N12:N14)</f>
        <v>2288</v>
      </c>
      <c r="O15" s="403">
        <f>N15/'État des Résultats'!N14</f>
        <v>5.6110818867262838E-2</v>
      </c>
      <c r="P15" s="214"/>
      <c r="Q15" s="402">
        <f>SUM(Q12:Q14)</f>
        <v>2288</v>
      </c>
      <c r="R15" s="403">
        <f>Q15/'État des Résultats'!Q14</f>
        <v>4.9775726414507351E-2</v>
      </c>
      <c r="S15" s="214"/>
      <c r="T15" s="402">
        <f>SUM(T12:T14)</f>
        <v>2288</v>
      </c>
      <c r="U15" s="403">
        <f>T15/'État des Résultats'!T14</f>
        <v>4.1147933835992745E-2</v>
      </c>
      <c r="V15" s="214"/>
      <c r="W15" s="402">
        <f>SUM(W12:W14)</f>
        <v>2288</v>
      </c>
      <c r="X15" s="403">
        <f>W15/'État des Résultats'!W14</f>
        <v>2.9865435848704415E-2</v>
      </c>
      <c r="Y15" s="214"/>
      <c r="Z15" s="402">
        <f>SUM(Z12:Z14)</f>
        <v>2288</v>
      </c>
      <c r="AA15" s="403">
        <f>Z15/'État des Résultats'!Z14</f>
        <v>3.3183817609671575E-2</v>
      </c>
      <c r="AB15" s="214"/>
      <c r="AC15" s="402">
        <f>SUM(AC12:AC14)</f>
        <v>2288</v>
      </c>
      <c r="AD15" s="403">
        <f>AC15/'État des Résultats'!AC14</f>
        <v>5.1434917294990938E-2</v>
      </c>
      <c r="AE15" s="214"/>
      <c r="AF15" s="402">
        <f>SUM(AF12:AF14)</f>
        <v>2288</v>
      </c>
      <c r="AG15" s="403">
        <f>AF15/'État des Résultats'!AF14</f>
        <v>5.4300792452189849E-2</v>
      </c>
      <c r="AH15" s="214"/>
      <c r="AI15" s="402">
        <f>SUM(AI12:AI14)</f>
        <v>2288</v>
      </c>
      <c r="AJ15" s="403">
        <f>AI15/'État des Résultats'!AI14</f>
        <v>6.1721900753989131E-2</v>
      </c>
      <c r="AK15" s="404"/>
      <c r="AL15" s="402">
        <f>SUM(AL12:AL14)</f>
        <v>2288</v>
      </c>
      <c r="AM15" s="403">
        <f>AL15/'État des Résultats'!AL14</f>
        <v>4.9775726414507351E-2</v>
      </c>
      <c r="AN15" s="214"/>
      <c r="AO15" s="214"/>
      <c r="AP15" s="554">
        <f>SUM(AP12:AP14)</f>
        <v>27456</v>
      </c>
      <c r="AQ15" s="555">
        <f>+SUM(AQ12:AQ14)</f>
        <v>4.8568053052319309E-2</v>
      </c>
      <c r="AR15" s="252"/>
      <c r="AS15" s="252"/>
      <c r="AT15" s="252"/>
      <c r="AU15" s="252"/>
      <c r="AV15" s="252"/>
      <c r="AW15" s="252"/>
    </row>
    <row r="16" spans="2:55" ht="15" thickTop="1" thickBot="1" x14ac:dyDescent="0.2">
      <c r="B16" s="504"/>
      <c r="C16" s="504" t="s">
        <v>2</v>
      </c>
      <c r="D16" s="504"/>
      <c r="E16" s="512"/>
      <c r="F16" s="513"/>
      <c r="G16" s="504"/>
      <c r="H16" s="512"/>
      <c r="I16" s="513"/>
      <c r="J16" s="504"/>
      <c r="K16" s="512"/>
      <c r="L16" s="513"/>
      <c r="M16" s="504"/>
      <c r="N16" s="512"/>
      <c r="O16" s="513"/>
      <c r="P16" s="504"/>
      <c r="Q16" s="512"/>
      <c r="R16" s="513"/>
      <c r="S16" s="504"/>
      <c r="T16" s="512"/>
      <c r="U16" s="513"/>
      <c r="V16" s="504"/>
      <c r="W16" s="512"/>
      <c r="X16" s="513"/>
      <c r="Y16" s="504"/>
      <c r="Z16" s="512"/>
      <c r="AA16" s="513"/>
      <c r="AB16" s="504"/>
      <c r="AC16" s="512"/>
      <c r="AD16" s="513"/>
      <c r="AE16" s="504"/>
      <c r="AF16" s="512"/>
      <c r="AG16" s="513"/>
      <c r="AH16" s="504"/>
      <c r="AI16" s="512"/>
      <c r="AJ16" s="513"/>
      <c r="AK16" s="504"/>
      <c r="AL16" s="512"/>
      <c r="AM16" s="513"/>
      <c r="AN16" s="504"/>
      <c r="AO16" s="504"/>
      <c r="AP16" s="514"/>
      <c r="AQ16" s="515"/>
    </row>
    <row r="17" spans="2:69" ht="15" thickTop="1" thickBot="1" x14ac:dyDescent="0.2">
      <c r="B17" s="546"/>
      <c r="C17" s="537" t="str">
        <f>' Total des coûts de MO'!C14</f>
        <v>Salaire "Production"</v>
      </c>
      <c r="D17" s="191"/>
      <c r="E17" s="552"/>
      <c r="F17" s="539"/>
      <c r="H17" s="552"/>
      <c r="I17" s="539"/>
      <c r="K17" s="552"/>
      <c r="L17" s="539"/>
      <c r="N17" s="552"/>
      <c r="O17" s="539"/>
      <c r="Q17" s="552"/>
      <c r="R17" s="539"/>
      <c r="T17" s="552"/>
      <c r="U17" s="539"/>
      <c r="W17" s="552"/>
      <c r="X17" s="539"/>
      <c r="Z17" s="552"/>
      <c r="AA17" s="539"/>
      <c r="AC17" s="552"/>
      <c r="AD17" s="539"/>
      <c r="AF17" s="552"/>
      <c r="AG17" s="539"/>
      <c r="AI17" s="552"/>
      <c r="AJ17" s="539"/>
      <c r="AK17" s="201"/>
      <c r="AL17" s="552"/>
      <c r="AM17" s="539"/>
      <c r="AP17" s="540"/>
      <c r="AQ17" s="539"/>
    </row>
    <row r="18" spans="2:69" ht="14" thickTop="1" x14ac:dyDescent="0.15">
      <c r="B18" s="191">
        <f>' Total des coûts de MO'!B14</f>
        <v>6120</v>
      </c>
      <c r="C18" s="394" t="str">
        <f>' Total des coûts de MO'!C11</f>
        <v>Salaires</v>
      </c>
      <c r="D18" s="191"/>
      <c r="E18" s="406">
        <v>3000</v>
      </c>
      <c r="F18" s="489">
        <f>+E18/'État des Résultats'!E14</f>
        <v>7.8318450652196892E-2</v>
      </c>
      <c r="H18" s="406">
        <v>3000</v>
      </c>
      <c r="I18" s="489">
        <f>+H18/'État des Résultats'!H14</f>
        <v>9.6344125802305711E-2</v>
      </c>
      <c r="K18" s="406">
        <v>3000</v>
      </c>
      <c r="L18" s="489">
        <f>+K18/'État des Résultats'!K14</f>
        <v>7.8318450652196892E-2</v>
      </c>
      <c r="N18" s="406">
        <v>3000</v>
      </c>
      <c r="O18" s="489">
        <f>+N18/'État des Résultats'!N14</f>
        <v>7.3571877885397083E-2</v>
      </c>
      <c r="Q18" s="406">
        <v>3000</v>
      </c>
      <c r="R18" s="489">
        <f>+Q18/'État des Résultats'!Q14</f>
        <v>6.52653755434974E-2</v>
      </c>
      <c r="T18" s="406">
        <v>3000</v>
      </c>
      <c r="U18" s="489">
        <f>+T18/'État des Résultats'!T14</f>
        <v>5.3952710449291189E-2</v>
      </c>
      <c r="W18" s="406">
        <v>3000</v>
      </c>
      <c r="X18" s="489">
        <f>+W18/'État des Résultats'!W14</f>
        <v>3.9159225326098446E-2</v>
      </c>
      <c r="Z18" s="406">
        <v>3000</v>
      </c>
      <c r="AA18" s="489">
        <f>+Z18/'État des Résultats'!Z14</f>
        <v>4.3510250362331609E-2</v>
      </c>
      <c r="AC18" s="406">
        <v>3000</v>
      </c>
      <c r="AD18" s="489">
        <f>+AC18/'État des Résultats'!AC14</f>
        <v>6.7440888061613996E-2</v>
      </c>
      <c r="AF18" s="406">
        <v>3000</v>
      </c>
      <c r="AG18" s="489">
        <f>+AF18/'État des Résultats'!AF14</f>
        <v>7.1198591501997172E-2</v>
      </c>
      <c r="AI18" s="406">
        <v>3000</v>
      </c>
      <c r="AJ18" s="489">
        <f>+AI18/'État des Résultats'!AI14</f>
        <v>8.092906567393679E-2</v>
      </c>
      <c r="AK18" s="201"/>
      <c r="AL18" s="406">
        <v>3000</v>
      </c>
      <c r="AM18" s="489">
        <f>+AL18/'État des Résultats'!AL14</f>
        <v>6.52653755434974E-2</v>
      </c>
      <c r="AP18" s="485">
        <f>SUM(+$AL18+$AI18+$AF18+$AC18+$Z18+$W18+$T18+$Q18+$N18+$K18+$H18+$E18)</f>
        <v>36000</v>
      </c>
      <c r="AQ18" s="484">
        <f>AP18/'État des Résultats'!AP14</f>
        <v>6.3681887743425675E-2</v>
      </c>
    </row>
    <row r="19" spans="2:69" x14ac:dyDescent="0.15">
      <c r="B19" s="191">
        <f>B13</f>
        <v>6205</v>
      </c>
      <c r="C19" s="394" t="str">
        <f>' Total des coûts de MO'!C27</f>
        <v>Bénéfices gouvernementaux</v>
      </c>
      <c r="D19" s="191"/>
      <c r="E19" s="397">
        <f>+E18*$H$76</f>
        <v>360</v>
      </c>
      <c r="F19" s="398">
        <f>E19/'État des Résultats'!E14</f>
        <v>9.3982140782636267E-3</v>
      </c>
      <c r="H19" s="397">
        <f>+H18*$H$76</f>
        <v>360</v>
      </c>
      <c r="I19" s="398">
        <f>H19/'État des Résultats'!H14</f>
        <v>1.1561295096276684E-2</v>
      </c>
      <c r="K19" s="397">
        <f>+K18*$H$76</f>
        <v>360</v>
      </c>
      <c r="L19" s="398">
        <f>K19/'État des Résultats'!K14</f>
        <v>9.3982140782636267E-3</v>
      </c>
      <c r="N19" s="397">
        <f>+N18*$H$76</f>
        <v>360</v>
      </c>
      <c r="O19" s="398">
        <f>N19/'État des Résultats'!N14</f>
        <v>8.82862534624765E-3</v>
      </c>
      <c r="Q19" s="397">
        <f>+Q18*$H$76</f>
        <v>360</v>
      </c>
      <c r="R19" s="398">
        <f>Q19/'État des Résultats'!Q14</f>
        <v>7.8318450652196878E-3</v>
      </c>
      <c r="T19" s="397">
        <f>+T18*$H$76</f>
        <v>360</v>
      </c>
      <c r="U19" s="398">
        <f>T19/'État des Résultats'!T14</f>
        <v>6.4743252539149424E-3</v>
      </c>
      <c r="W19" s="397">
        <f>+W18*$H$76</f>
        <v>360</v>
      </c>
      <c r="X19" s="398">
        <f>W19/'État des Résultats'!W14</f>
        <v>4.6991070391318134E-3</v>
      </c>
      <c r="Z19" s="397">
        <f>+Z18*$H$76</f>
        <v>360</v>
      </c>
      <c r="AA19" s="398">
        <f>Z19/'État des Résultats'!Z14</f>
        <v>5.221230043479793E-3</v>
      </c>
      <c r="AC19" s="397">
        <f>+AC18*$H$76</f>
        <v>360</v>
      </c>
      <c r="AD19" s="398">
        <f>AC19/'État des Résultats'!AC14</f>
        <v>8.0929065673936793E-3</v>
      </c>
      <c r="AF19" s="397">
        <f>+AF18*$H$76</f>
        <v>360</v>
      </c>
      <c r="AG19" s="398">
        <f>AF19/'État des Résultats'!AF14</f>
        <v>8.5438309802396608E-3</v>
      </c>
      <c r="AI19" s="397">
        <f>+AI18*$H$76</f>
        <v>360</v>
      </c>
      <c r="AJ19" s="398">
        <f>AI19/'État des Résultats'!AI14</f>
        <v>9.7114878808724145E-3</v>
      </c>
      <c r="AK19" s="201"/>
      <c r="AL19" s="397">
        <f>+AL18*$H$76</f>
        <v>360</v>
      </c>
      <c r="AM19" s="398">
        <f>AL19/'État des Résultats'!AL14</f>
        <v>7.8318450652196878E-3</v>
      </c>
      <c r="AP19" s="485">
        <f>SUM(+$AL19+$AI19+$AF19+$AC19+$Z19+$W19+$T19+$Q19+$N19+$K19+$H19+$E19)</f>
        <v>4320</v>
      </c>
      <c r="AQ19" s="484">
        <f>AP19/'État des Résultats'!AP14</f>
        <v>7.6418265292110812E-3</v>
      </c>
    </row>
    <row r="20" spans="2:69" ht="14" thickBot="1" x14ac:dyDescent="0.2">
      <c r="B20" s="191">
        <f>B14</f>
        <v>6245</v>
      </c>
      <c r="C20" s="394" t="str">
        <f>' Total des coûts de MO'!C31</f>
        <v>CSST et CNT</v>
      </c>
      <c r="D20" s="191"/>
      <c r="E20" s="397">
        <f>(E18/100)*$F$72</f>
        <v>72</v>
      </c>
      <c r="F20" s="398">
        <f>E20/'État des Résultats'!E14</f>
        <v>1.8796428156527254E-3</v>
      </c>
      <c r="H20" s="397">
        <f>(H18/100)*$F$72</f>
        <v>72</v>
      </c>
      <c r="I20" s="398">
        <f>H20/'État des Résultats'!H14</f>
        <v>2.312259019255337E-3</v>
      </c>
      <c r="K20" s="397">
        <f>(K18/100)*$F$72</f>
        <v>72</v>
      </c>
      <c r="L20" s="398">
        <f>K20/'État des Résultats'!K14</f>
        <v>1.8796428156527254E-3</v>
      </c>
      <c r="N20" s="397">
        <f>(N18/100)*$F$72</f>
        <v>72</v>
      </c>
      <c r="O20" s="398">
        <f>N20/'État des Résultats'!N14</f>
        <v>1.7657250692495298E-3</v>
      </c>
      <c r="Q20" s="397">
        <f>(Q18/100)*$F$72</f>
        <v>72</v>
      </c>
      <c r="R20" s="398">
        <f>Q20/'État des Résultats'!Q14</f>
        <v>1.5663690130439376E-3</v>
      </c>
      <c r="T20" s="397">
        <f>(T18/100)*$F$72</f>
        <v>72</v>
      </c>
      <c r="U20" s="398">
        <f>T20/'État des Résultats'!T14</f>
        <v>1.2948650507829886E-3</v>
      </c>
      <c r="W20" s="397">
        <f>(W18/100)*$F$72</f>
        <v>72</v>
      </c>
      <c r="X20" s="398">
        <f>W20/'État des Résultats'!W14</f>
        <v>9.3982140782636271E-4</v>
      </c>
      <c r="Z20" s="397">
        <f>(Z18/100)*$F$72</f>
        <v>72</v>
      </c>
      <c r="AA20" s="398">
        <f>Z20/'État des Résultats'!Z14</f>
        <v>1.0442460086959586E-3</v>
      </c>
      <c r="AC20" s="397">
        <f>(AC18/100)*$F$72</f>
        <v>72</v>
      </c>
      <c r="AD20" s="398">
        <f>AC20/'État des Résultats'!AC14</f>
        <v>1.6185813134787358E-3</v>
      </c>
      <c r="AF20" s="397">
        <f>(AF18/100)*$F$72</f>
        <v>72</v>
      </c>
      <c r="AG20" s="398">
        <f>AF20/'État des Résultats'!AF14</f>
        <v>1.7087661960479322E-3</v>
      </c>
      <c r="AI20" s="397">
        <f>(AI18/100)*$F$72</f>
        <v>72</v>
      </c>
      <c r="AJ20" s="398">
        <f>AI20/'État des Résultats'!AI14</f>
        <v>1.9422975761744831E-3</v>
      </c>
      <c r="AK20" s="201"/>
      <c r="AL20" s="397">
        <f>(AL18/100)*$F$72</f>
        <v>72</v>
      </c>
      <c r="AM20" s="398">
        <f>AL20/'État des Résultats'!AL14</f>
        <v>1.5663690130439376E-3</v>
      </c>
      <c r="AP20" s="485">
        <f>SUM(+$AL20+$AI20+$AF20+$AC20+$Z20+$W20+$T20+$Q20+$N20+$K20+$H20+$E20)</f>
        <v>864</v>
      </c>
      <c r="AQ20" s="484">
        <f>AP20/'État des Résultats'!AP14</f>
        <v>1.5283653058422162E-3</v>
      </c>
    </row>
    <row r="21" spans="2:69" ht="15" thickTop="1" thickBot="1" x14ac:dyDescent="0.2">
      <c r="B21" s="499"/>
      <c r="C21" s="500" t="s">
        <v>221</v>
      </c>
      <c r="D21" s="401"/>
      <c r="E21" s="408">
        <f>SUM(E18:E20)</f>
        <v>3432</v>
      </c>
      <c r="F21" s="409">
        <f>SUM(F18:F20)</f>
        <v>8.9596307546113252E-2</v>
      </c>
      <c r="G21" s="214"/>
      <c r="H21" s="408">
        <f>SUM(H18:H20)</f>
        <v>3432</v>
      </c>
      <c r="I21" s="409">
        <f>SUM(I18:I20)</f>
        <v>0.11021767991783772</v>
      </c>
      <c r="J21" s="214"/>
      <c r="K21" s="408">
        <f>SUM(K18:K20)</f>
        <v>3432</v>
      </c>
      <c r="L21" s="409">
        <f>SUM(L18:L20)</f>
        <v>8.9596307546113252E-2</v>
      </c>
      <c r="M21" s="214"/>
      <c r="N21" s="408">
        <f>SUM(N18:N20)</f>
        <v>3432</v>
      </c>
      <c r="O21" s="409">
        <f>SUM(O18:O20)</f>
        <v>8.4166228300894264E-2</v>
      </c>
      <c r="P21" s="214"/>
      <c r="Q21" s="408">
        <f>SUM(Q18:Q20)</f>
        <v>3432</v>
      </c>
      <c r="R21" s="409">
        <f>SUM(R18:R20)</f>
        <v>7.4663589621761034E-2</v>
      </c>
      <c r="S21" s="214"/>
      <c r="T21" s="408">
        <f>SUM(T18:T20)</f>
        <v>3432</v>
      </c>
      <c r="U21" s="409">
        <f>SUM(U18:U20)</f>
        <v>6.1721900753989117E-2</v>
      </c>
      <c r="V21" s="214"/>
      <c r="W21" s="408">
        <f>SUM(W18:W20)</f>
        <v>3432</v>
      </c>
      <c r="X21" s="409">
        <f>SUM(X18:X20)</f>
        <v>4.4798153773056626E-2</v>
      </c>
      <c r="Y21" s="214"/>
      <c r="Z21" s="408">
        <f>SUM(Z18:Z20)</f>
        <v>3432</v>
      </c>
      <c r="AA21" s="409">
        <f>SUM(AA18:AA20)</f>
        <v>4.9775726414507365E-2</v>
      </c>
      <c r="AB21" s="214"/>
      <c r="AC21" s="408">
        <f>SUM(AC18:AC20)</f>
        <v>3432</v>
      </c>
      <c r="AD21" s="409">
        <f>SUM(AD18:AD20)</f>
        <v>7.7152375942486418E-2</v>
      </c>
      <c r="AE21" s="214"/>
      <c r="AF21" s="408">
        <f>SUM(AF18:AF20)</f>
        <v>3432</v>
      </c>
      <c r="AG21" s="409">
        <f>SUM(AG18:AG20)</f>
        <v>8.1451188678284756E-2</v>
      </c>
      <c r="AH21" s="214"/>
      <c r="AI21" s="408">
        <f>SUM(AI18:AI20)</f>
        <v>3432</v>
      </c>
      <c r="AJ21" s="409">
        <f>SUM(AJ18:AJ20)</f>
        <v>9.258285113098369E-2</v>
      </c>
      <c r="AK21" s="404"/>
      <c r="AL21" s="408">
        <f>SUM(AL18:AL20)</f>
        <v>3432</v>
      </c>
      <c r="AM21" s="409">
        <f>SUM(AM18:AM20)</f>
        <v>7.4663589621761034E-2</v>
      </c>
      <c r="AN21" s="214"/>
      <c r="AO21" s="214"/>
      <c r="AP21" s="410">
        <f>SUM(AP18+AP19+AP20)</f>
        <v>41184</v>
      </c>
      <c r="AQ21" s="411">
        <f>AP21/'État des Résultats'!AP14</f>
        <v>7.2852079578478973E-2</v>
      </c>
      <c r="AR21" s="252"/>
      <c r="AS21" s="252"/>
      <c r="AT21" s="252"/>
      <c r="AU21" s="252"/>
    </row>
    <row r="22" spans="2:69" ht="15" thickTop="1" thickBot="1" x14ac:dyDescent="0.2">
      <c r="B22" s="504"/>
      <c r="C22" s="504"/>
      <c r="D22" s="504"/>
      <c r="E22" s="512"/>
      <c r="F22" s="513"/>
      <c r="G22" s="504"/>
      <c r="H22" s="512"/>
      <c r="I22" s="513"/>
      <c r="J22" s="504"/>
      <c r="K22" s="512"/>
      <c r="L22" s="513"/>
      <c r="M22" s="504"/>
      <c r="N22" s="512"/>
      <c r="O22" s="513"/>
      <c r="P22" s="504"/>
      <c r="Q22" s="512"/>
      <c r="R22" s="513"/>
      <c r="S22" s="504"/>
      <c r="T22" s="512"/>
      <c r="U22" s="513"/>
      <c r="V22" s="504"/>
      <c r="W22" s="512"/>
      <c r="X22" s="513"/>
      <c r="Y22" s="504"/>
      <c r="Z22" s="512"/>
      <c r="AA22" s="513"/>
      <c r="AB22" s="504"/>
      <c r="AC22" s="512"/>
      <c r="AD22" s="513"/>
      <c r="AE22" s="504"/>
      <c r="AF22" s="512"/>
      <c r="AG22" s="513"/>
      <c r="AH22" s="504"/>
      <c r="AI22" s="512"/>
      <c r="AJ22" s="513"/>
      <c r="AK22" s="504"/>
      <c r="AL22" s="512"/>
      <c r="AM22" s="513"/>
      <c r="AN22" s="504"/>
      <c r="AO22" s="504"/>
      <c r="AP22" s="514"/>
      <c r="AQ22" s="515"/>
    </row>
    <row r="23" spans="2:69" ht="15" thickTop="1" thickBot="1" x14ac:dyDescent="0.2">
      <c r="B23" s="547"/>
      <c r="C23" s="537" t="str">
        <f>' Total des coûts de MO'!C15</f>
        <v>Salaire "Vente et service"</v>
      </c>
      <c r="D23" s="191"/>
      <c r="E23" s="538"/>
      <c r="F23" s="539"/>
      <c r="H23" s="538"/>
      <c r="I23" s="539"/>
      <c r="K23" s="538"/>
      <c r="L23" s="539"/>
      <c r="N23" s="538"/>
      <c r="O23" s="539"/>
      <c r="Q23" s="538"/>
      <c r="R23" s="539"/>
      <c r="T23" s="538"/>
      <c r="U23" s="539"/>
      <c r="W23" s="538"/>
      <c r="X23" s="539"/>
      <c r="Z23" s="538"/>
      <c r="AA23" s="539"/>
      <c r="AC23" s="538"/>
      <c r="AD23" s="539"/>
      <c r="AF23" s="538"/>
      <c r="AG23" s="539"/>
      <c r="AI23" s="538"/>
      <c r="AJ23" s="539"/>
      <c r="AK23" s="201"/>
      <c r="AL23" s="538"/>
      <c r="AM23" s="539"/>
      <c r="AP23" s="540" t="s">
        <v>2</v>
      </c>
      <c r="AQ23" s="539" t="s">
        <v>2</v>
      </c>
    </row>
    <row r="24" spans="2:69" ht="14" thickTop="1" x14ac:dyDescent="0.15">
      <c r="B24" s="191">
        <f>' Total des coûts de MO'!B15</f>
        <v>6130</v>
      </c>
      <c r="C24" s="394" t="str">
        <f>' Total des coûts de MO'!C11</f>
        <v>Salaires</v>
      </c>
      <c r="D24" s="191"/>
      <c r="E24" s="406">
        <v>1000</v>
      </c>
      <c r="F24" s="489">
        <f>E24/'État des Résultats'!E14</f>
        <v>2.6106150217398965E-2</v>
      </c>
      <c r="H24" s="406">
        <v>1000</v>
      </c>
      <c r="I24" s="489">
        <f>H24/'État des Résultats'!H14</f>
        <v>3.2114708600768566E-2</v>
      </c>
      <c r="K24" s="406">
        <v>1000</v>
      </c>
      <c r="L24" s="489">
        <f>K24/'État des Résultats'!K14</f>
        <v>2.6106150217398965E-2</v>
      </c>
      <c r="N24" s="406">
        <v>1000</v>
      </c>
      <c r="O24" s="489">
        <f>N24/'État des Résultats'!N14</f>
        <v>2.4523959295132361E-2</v>
      </c>
      <c r="Q24" s="406">
        <v>1000</v>
      </c>
      <c r="R24" s="489">
        <f>Q24/'État des Résultats'!Q14</f>
        <v>2.1755125181165801E-2</v>
      </c>
      <c r="T24" s="406">
        <v>1000</v>
      </c>
      <c r="U24" s="489">
        <f>T24/'État des Résultats'!T14</f>
        <v>1.7984236816430396E-2</v>
      </c>
      <c r="W24" s="406">
        <v>1000</v>
      </c>
      <c r="X24" s="489">
        <f>W24/'État des Résultats'!W14</f>
        <v>1.3053075108699482E-2</v>
      </c>
      <c r="Z24" s="406">
        <v>1000</v>
      </c>
      <c r="AA24" s="489">
        <f>Z24/'État des Résultats'!Z14</f>
        <v>1.4503416787443869E-2</v>
      </c>
      <c r="AC24" s="406">
        <v>1000</v>
      </c>
      <c r="AD24" s="489">
        <f>AC24/'État des Résultats'!AC14</f>
        <v>2.2480296020537999E-2</v>
      </c>
      <c r="AF24" s="406">
        <v>1000</v>
      </c>
      <c r="AG24" s="489">
        <f>AF24/'État des Résultats'!AF14</f>
        <v>2.3732863833999061E-2</v>
      </c>
      <c r="AI24" s="406">
        <v>1000</v>
      </c>
      <c r="AJ24" s="489">
        <f>AI24/'État des Résultats'!AI14</f>
        <v>2.6976355224645598E-2</v>
      </c>
      <c r="AK24" s="201"/>
      <c r="AL24" s="406">
        <v>1000</v>
      </c>
      <c r="AM24" s="489">
        <f>AL24/'État des Résultats'!AL14</f>
        <v>2.1755125181165801E-2</v>
      </c>
      <c r="AP24" s="485">
        <f>SUM(+$AL24+$AI24+$AF24+$AC24+$Z24+$W24+$T24+$Q24+$N24+$K24+$H24+$E24)</f>
        <v>12000</v>
      </c>
      <c r="AQ24" s="484">
        <f>AP24/'État des Résultats'!AP14</f>
        <v>2.1227295914475225E-2</v>
      </c>
    </row>
    <row r="25" spans="2:69" x14ac:dyDescent="0.15">
      <c r="B25" s="191">
        <f>B19</f>
        <v>6205</v>
      </c>
      <c r="C25" s="161" t="str">
        <f>' Total des coûts de MO'!C27</f>
        <v>Bénéfices gouvernementaux</v>
      </c>
      <c r="D25" s="191"/>
      <c r="E25" s="407">
        <f>E24*$H$76</f>
        <v>120</v>
      </c>
      <c r="F25" s="398">
        <f>E25/'État des Résultats'!E14</f>
        <v>3.1327380260878757E-3</v>
      </c>
      <c r="H25" s="407">
        <f>H24*$H$76</f>
        <v>120</v>
      </c>
      <c r="I25" s="398">
        <f>H25/'État des Résultats'!H14</f>
        <v>3.8537650320922281E-3</v>
      </c>
      <c r="K25" s="407">
        <f>K24*$H$76</f>
        <v>120</v>
      </c>
      <c r="L25" s="398">
        <f>K25/'État des Résultats'!K14</f>
        <v>3.1327380260878757E-3</v>
      </c>
      <c r="N25" s="407">
        <f>N24*$H$76</f>
        <v>120</v>
      </c>
      <c r="O25" s="398">
        <f>N25/'État des Résultats'!N14</f>
        <v>2.9428751154158832E-3</v>
      </c>
      <c r="Q25" s="407">
        <f>Q24*$H$76</f>
        <v>120</v>
      </c>
      <c r="R25" s="398">
        <f>Q25/'État des Résultats'!Q14</f>
        <v>2.6106150217398961E-3</v>
      </c>
      <c r="T25" s="407">
        <f>T24*$H$76</f>
        <v>120</v>
      </c>
      <c r="U25" s="398">
        <f>T25/'État des Résultats'!T14</f>
        <v>2.1581084179716475E-3</v>
      </c>
      <c r="W25" s="407">
        <f>W24*$H$76</f>
        <v>120</v>
      </c>
      <c r="X25" s="398">
        <f>W25/'État des Résultats'!W14</f>
        <v>1.5663690130439379E-3</v>
      </c>
      <c r="Z25" s="407">
        <f>Z24*$H$76</f>
        <v>120</v>
      </c>
      <c r="AA25" s="398">
        <f>Z25/'État des Résultats'!Z14</f>
        <v>1.7404100144932642E-3</v>
      </c>
      <c r="AC25" s="407">
        <f>AC24*$H$76</f>
        <v>120</v>
      </c>
      <c r="AD25" s="398">
        <f>AC25/'État des Résultats'!AC14</f>
        <v>2.6976355224645598E-3</v>
      </c>
      <c r="AF25" s="407">
        <f>AF24*$H$76</f>
        <v>120</v>
      </c>
      <c r="AG25" s="398">
        <f>AF25/'État des Résultats'!AF14</f>
        <v>2.8479436600798869E-3</v>
      </c>
      <c r="AI25" s="407">
        <f>AI24*$H$76</f>
        <v>120</v>
      </c>
      <c r="AJ25" s="398">
        <f>AI25/'État des Résultats'!AI14</f>
        <v>3.2371626269574716E-3</v>
      </c>
      <c r="AK25" s="201"/>
      <c r="AL25" s="407">
        <f>AL24*$H$76</f>
        <v>120</v>
      </c>
      <c r="AM25" s="398">
        <f>AL25/'État des Résultats'!AL14</f>
        <v>2.6106150217398961E-3</v>
      </c>
      <c r="AP25" s="485">
        <f>SUM(+$AL25+$AI25+$AF25+$AC25+$Z25+$W25+$T25+$Q25+$N25+$K25+$H25+$E25)</f>
        <v>1440</v>
      </c>
      <c r="AQ25" s="484">
        <f>AP25/'État des Résultats'!AP14</f>
        <v>2.5472755097370268E-3</v>
      </c>
    </row>
    <row r="26" spans="2:69" ht="14" thickBot="1" x14ac:dyDescent="0.2">
      <c r="B26" s="191">
        <f>B14</f>
        <v>6245</v>
      </c>
      <c r="C26" s="394" t="str">
        <f>' Total des coûts de MO'!C31</f>
        <v>CSST et CNT</v>
      </c>
      <c r="D26" s="191"/>
      <c r="E26" s="407">
        <f>(E24/100)*$F$72</f>
        <v>24</v>
      </c>
      <c r="F26" s="398">
        <f>E26/'État des Résultats'!E14</f>
        <v>6.2654760521757514E-4</v>
      </c>
      <c r="H26" s="407">
        <f>(H24/100)*$F$72</f>
        <v>24</v>
      </c>
      <c r="I26" s="398">
        <f>H26/'État des Résultats'!H14</f>
        <v>7.7075300641844563E-4</v>
      </c>
      <c r="K26" s="407">
        <f>(K24/100)*$F$72</f>
        <v>24</v>
      </c>
      <c r="L26" s="398">
        <f>K26/'État des Résultats'!K14</f>
        <v>6.2654760521757514E-4</v>
      </c>
      <c r="N26" s="407">
        <f>(N24/100)*$F$72</f>
        <v>24</v>
      </c>
      <c r="O26" s="398">
        <f>N26/'État des Résultats'!N14</f>
        <v>5.8857502308317657E-4</v>
      </c>
      <c r="Q26" s="407">
        <f>(Q24/100)*$F$72</f>
        <v>24</v>
      </c>
      <c r="R26" s="398">
        <f>Q26/'État des Résultats'!Q14</f>
        <v>5.2212300434797921E-4</v>
      </c>
      <c r="T26" s="407">
        <f>(T24/100)*$F$72</f>
        <v>24</v>
      </c>
      <c r="U26" s="398">
        <f>T26/'État des Résultats'!T14</f>
        <v>4.3162168359432951E-4</v>
      </c>
      <c r="W26" s="407">
        <f>(W24/100)*$F$72</f>
        <v>24</v>
      </c>
      <c r="X26" s="398">
        <f>W26/'État des Résultats'!W14</f>
        <v>3.1327380260878757E-4</v>
      </c>
      <c r="Z26" s="407">
        <f>(Z24/100)*$F$72</f>
        <v>24</v>
      </c>
      <c r="AA26" s="398">
        <f>Z26/'État des Résultats'!Z14</f>
        <v>3.4808200289865288E-4</v>
      </c>
      <c r="AC26" s="407">
        <f>(AC24/100)*$F$72</f>
        <v>24</v>
      </c>
      <c r="AD26" s="398">
        <f>AC26/'État des Résultats'!AC14</f>
        <v>5.3952710449291198E-4</v>
      </c>
      <c r="AF26" s="407">
        <f>(AF24/100)*$F$72</f>
        <v>24</v>
      </c>
      <c r="AG26" s="398">
        <f>AF26/'État des Résultats'!AF14</f>
        <v>5.6958873201597745E-4</v>
      </c>
      <c r="AI26" s="407">
        <f>(AI24/100)*$F$72</f>
        <v>24</v>
      </c>
      <c r="AJ26" s="398">
        <f>AI26/'État des Résultats'!AI14</f>
        <v>6.4743252539149439E-4</v>
      </c>
      <c r="AK26" s="201"/>
      <c r="AL26" s="407">
        <f>(AL24/100)*$F$72</f>
        <v>24</v>
      </c>
      <c r="AM26" s="398">
        <f>AL26/'État des Résultats'!AL14</f>
        <v>5.2212300434797921E-4</v>
      </c>
      <c r="AP26" s="485">
        <f>SUM(+$AL26+$AI26+$AF26+$AC26+$Z26+$W26+$T26+$Q26+$N26+$K26+$H26+$E26)</f>
        <v>288</v>
      </c>
      <c r="AQ26" s="484">
        <f>AP26/'État des Résultats'!AP14</f>
        <v>5.094551019474054E-4</v>
      </c>
    </row>
    <row r="27" spans="2:69" ht="15" thickTop="1" thickBot="1" x14ac:dyDescent="0.2">
      <c r="B27" s="499"/>
      <c r="C27" s="500" t="s">
        <v>222</v>
      </c>
      <c r="D27" s="401"/>
      <c r="E27" s="412">
        <f>SUM(E24:E26)</f>
        <v>1144</v>
      </c>
      <c r="F27" s="409">
        <f>SUM(F24:F26)</f>
        <v>2.9865435848704415E-2</v>
      </c>
      <c r="G27" s="413"/>
      <c r="H27" s="412">
        <f>SUM(H24:H26)</f>
        <v>1144</v>
      </c>
      <c r="I27" s="409">
        <f>SUM(I24:I26)</f>
        <v>3.673922663927924E-2</v>
      </c>
      <c r="J27" s="413"/>
      <c r="K27" s="412">
        <f>SUM(K24:K26)</f>
        <v>1144</v>
      </c>
      <c r="L27" s="409">
        <f>SUM(L24:L26)</f>
        <v>2.9865435848704415E-2</v>
      </c>
      <c r="M27" s="413"/>
      <c r="N27" s="412">
        <f>SUM(N24:N26)</f>
        <v>1144</v>
      </c>
      <c r="O27" s="409">
        <f>SUM(O24:O26)</f>
        <v>2.8055409433631419E-2</v>
      </c>
      <c r="P27" s="413"/>
      <c r="Q27" s="412">
        <f>SUM(Q24:Q26)</f>
        <v>1144</v>
      </c>
      <c r="R27" s="409">
        <f>SUM(R24:R26)</f>
        <v>2.4887863207253676E-2</v>
      </c>
      <c r="S27" s="413"/>
      <c r="T27" s="412">
        <f>SUM(T24:T26)</f>
        <v>1144</v>
      </c>
      <c r="U27" s="409">
        <f>SUM(U24:U26)</f>
        <v>2.0573966917996376E-2</v>
      </c>
      <c r="V27" s="413"/>
      <c r="W27" s="412">
        <f>SUM(W24:W26)</f>
        <v>1144</v>
      </c>
      <c r="X27" s="409">
        <f>SUM(X24:X26)</f>
        <v>1.4932717924352207E-2</v>
      </c>
      <c r="Y27" s="214"/>
      <c r="Z27" s="412">
        <f>SUM(Z24:Z26)</f>
        <v>1144</v>
      </c>
      <c r="AA27" s="409">
        <f>SUM(AA24:AA26)</f>
        <v>1.6591908804835787E-2</v>
      </c>
      <c r="AB27" s="413"/>
      <c r="AC27" s="412">
        <f>SUM(AC24:AC26)</f>
        <v>1144</v>
      </c>
      <c r="AD27" s="409">
        <f>SUM(AD24:AD26)</f>
        <v>2.5717458647495473E-2</v>
      </c>
      <c r="AE27" s="413"/>
      <c r="AF27" s="412">
        <f>SUM(AF24:AF26)</f>
        <v>1144</v>
      </c>
      <c r="AG27" s="409">
        <f>SUM(AG24:AG26)</f>
        <v>2.7150396226094928E-2</v>
      </c>
      <c r="AH27" s="413"/>
      <c r="AI27" s="412">
        <f>SUM(AI24:AI26)</f>
        <v>1144</v>
      </c>
      <c r="AJ27" s="409">
        <f>SUM(AJ24:AJ26)</f>
        <v>3.0860950376994562E-2</v>
      </c>
      <c r="AK27" s="414"/>
      <c r="AL27" s="412">
        <f>SUM(AL24:AL26)</f>
        <v>1144</v>
      </c>
      <c r="AM27" s="409">
        <f>SUM(AM24:AM26)</f>
        <v>2.4887863207253676E-2</v>
      </c>
      <c r="AN27" s="413"/>
      <c r="AO27" s="413"/>
      <c r="AP27" s="405">
        <f>+SUM(AP24:AP26)</f>
        <v>13728</v>
      </c>
      <c r="AQ27" s="415">
        <f>+SUM(AQ24:AQ26)</f>
        <v>2.4284026526159654E-2</v>
      </c>
      <c r="AR27" s="416"/>
      <c r="AS27" s="416"/>
      <c r="AT27" s="416"/>
      <c r="AU27" s="252"/>
      <c r="BB27" s="170"/>
      <c r="BC27" s="170"/>
      <c r="BD27" s="170"/>
      <c r="BE27" s="170"/>
      <c r="BF27" s="170"/>
      <c r="BG27" s="170"/>
      <c r="BH27" s="170"/>
      <c r="BI27" s="170"/>
      <c r="BJ27" s="170"/>
      <c r="BK27" s="170"/>
      <c r="BL27" s="170"/>
      <c r="BM27" s="170"/>
      <c r="BN27" s="170"/>
      <c r="BO27" s="170"/>
      <c r="BP27" s="170"/>
      <c r="BQ27" s="170"/>
    </row>
    <row r="28" spans="2:69" ht="15" thickTop="1" thickBot="1" x14ac:dyDescent="0.2">
      <c r="B28" s="504"/>
      <c r="C28" s="504"/>
      <c r="D28" s="504"/>
      <c r="E28" s="516"/>
      <c r="F28" s="513"/>
      <c r="G28" s="504"/>
      <c r="H28" s="516"/>
      <c r="I28" s="513"/>
      <c r="J28" s="504"/>
      <c r="K28" s="516"/>
      <c r="L28" s="513"/>
      <c r="M28" s="504"/>
      <c r="N28" s="516"/>
      <c r="O28" s="513"/>
      <c r="P28" s="504"/>
      <c r="Q28" s="516"/>
      <c r="R28" s="513"/>
      <c r="S28" s="504"/>
      <c r="T28" s="516"/>
      <c r="U28" s="513"/>
      <c r="V28" s="504"/>
      <c r="W28" s="516"/>
      <c r="X28" s="513"/>
      <c r="Y28" s="504"/>
      <c r="Z28" s="516"/>
      <c r="AA28" s="513"/>
      <c r="AB28" s="504"/>
      <c r="AC28" s="516"/>
      <c r="AD28" s="513"/>
      <c r="AE28" s="504"/>
      <c r="AF28" s="516"/>
      <c r="AG28" s="513"/>
      <c r="AH28" s="504"/>
      <c r="AI28" s="516"/>
      <c r="AJ28" s="513"/>
      <c r="AK28" s="504"/>
      <c r="AL28" s="516"/>
      <c r="AM28" s="513"/>
      <c r="AN28" s="504"/>
      <c r="AO28" s="504"/>
      <c r="AP28" s="514"/>
      <c r="AQ28" s="515"/>
    </row>
    <row r="29" spans="2:69" ht="15" thickTop="1" thickBot="1" x14ac:dyDescent="0.2">
      <c r="B29" s="546"/>
      <c r="C29" s="537" t="str">
        <f>' Total des coûts de MO'!C16</f>
        <v>Salaire "Approvisionnement"</v>
      </c>
      <c r="D29" s="191"/>
      <c r="E29" s="552"/>
      <c r="F29" s="539"/>
      <c r="H29" s="552"/>
      <c r="I29" s="539"/>
      <c r="K29" s="552"/>
      <c r="L29" s="539"/>
      <c r="N29" s="552"/>
      <c r="O29" s="539"/>
      <c r="Q29" s="552"/>
      <c r="R29" s="539"/>
      <c r="T29" s="552"/>
      <c r="U29" s="539"/>
      <c r="W29" s="552"/>
      <c r="X29" s="539"/>
      <c r="Z29" s="552"/>
      <c r="AA29" s="539"/>
      <c r="AC29" s="552"/>
      <c r="AD29" s="539"/>
      <c r="AF29" s="552"/>
      <c r="AG29" s="539"/>
      <c r="AI29" s="552"/>
      <c r="AJ29" s="539"/>
      <c r="AK29" s="201"/>
      <c r="AL29" s="552"/>
      <c r="AM29" s="539"/>
      <c r="AP29" s="540" t="s">
        <v>2</v>
      </c>
      <c r="AQ29" s="539" t="s">
        <v>2</v>
      </c>
    </row>
    <row r="30" spans="2:69" ht="14" thickTop="1" x14ac:dyDescent="0.15">
      <c r="B30" s="191">
        <f>' Total des coûts de MO'!B16</f>
        <v>6140</v>
      </c>
      <c r="C30" s="394" t="str">
        <f>' Total des coûts de MO'!C11</f>
        <v>Salaires</v>
      </c>
      <c r="D30" s="191"/>
      <c r="E30" s="406">
        <v>500</v>
      </c>
      <c r="F30" s="489">
        <f>E30/'État des Résultats'!E14</f>
        <v>1.3053075108699482E-2</v>
      </c>
      <c r="H30" s="406">
        <v>500</v>
      </c>
      <c r="I30" s="489">
        <f>H30/'État des Résultats'!H14</f>
        <v>1.6057354300384283E-2</v>
      </c>
      <c r="K30" s="406">
        <v>500</v>
      </c>
      <c r="L30" s="489">
        <f>K30/'État des Résultats'!K14</f>
        <v>1.3053075108699482E-2</v>
      </c>
      <c r="N30" s="406">
        <v>500</v>
      </c>
      <c r="O30" s="489">
        <f>N30/'État des Résultats'!N14</f>
        <v>1.226197964756618E-2</v>
      </c>
      <c r="Q30" s="406">
        <v>500</v>
      </c>
      <c r="R30" s="489">
        <f>Q30/'État des Résultats'!Q14</f>
        <v>1.0877562590582901E-2</v>
      </c>
      <c r="T30" s="406">
        <v>500</v>
      </c>
      <c r="U30" s="489">
        <f>T30/'État des Résultats'!T14</f>
        <v>8.9921184082151981E-3</v>
      </c>
      <c r="W30" s="406">
        <v>500</v>
      </c>
      <c r="X30" s="489">
        <f>W30/'État des Résultats'!W14</f>
        <v>6.5265375543497412E-3</v>
      </c>
      <c r="Z30" s="406">
        <v>500</v>
      </c>
      <c r="AA30" s="489">
        <f>Z30/'État des Résultats'!Z14</f>
        <v>7.2517083937219343E-3</v>
      </c>
      <c r="AC30" s="406">
        <v>500</v>
      </c>
      <c r="AD30" s="489">
        <f>AC30/'État des Résultats'!AC14</f>
        <v>1.1240148010268999E-2</v>
      </c>
      <c r="AF30" s="406">
        <v>500</v>
      </c>
      <c r="AG30" s="489">
        <f>AF30/'État des Résultats'!AF14</f>
        <v>1.186643191699953E-2</v>
      </c>
      <c r="AI30" s="406">
        <v>500</v>
      </c>
      <c r="AJ30" s="489">
        <f>AI30/'État des Résultats'!AI14</f>
        <v>1.3488177612322799E-2</v>
      </c>
      <c r="AK30" s="201"/>
      <c r="AL30" s="406">
        <v>500</v>
      </c>
      <c r="AM30" s="489">
        <f>AL30/'État des Résultats'!AL14</f>
        <v>1.0877562590582901E-2</v>
      </c>
      <c r="AP30" s="485">
        <f>SUM(+$AL30+$AI30+$AF30+$AC30+$Z30+$W30+$T30+$Q30+$N30+$K30+$H30+$E30)</f>
        <v>6000</v>
      </c>
      <c r="AQ30" s="484">
        <f>AP30/'État des Résultats'!AP14</f>
        <v>1.0613647957237612E-2</v>
      </c>
    </row>
    <row r="31" spans="2:69" x14ac:dyDescent="0.15">
      <c r="B31" s="191">
        <f>+B25</f>
        <v>6205</v>
      </c>
      <c r="C31" s="394" t="str">
        <f>' Total des coûts de MO'!C27</f>
        <v>Bénéfices gouvernementaux</v>
      </c>
      <c r="D31" s="191"/>
      <c r="E31" s="397">
        <f>+E30*$H$76</f>
        <v>60</v>
      </c>
      <c r="F31" s="398">
        <f>E31/'État des Résultats'!E14</f>
        <v>1.5663690130439379E-3</v>
      </c>
      <c r="H31" s="397">
        <f>+H30*$H$76</f>
        <v>60</v>
      </c>
      <c r="I31" s="398">
        <f>H31/'État des Résultats'!H14</f>
        <v>1.926882516046114E-3</v>
      </c>
      <c r="K31" s="397">
        <f>+K30*$H$76</f>
        <v>60</v>
      </c>
      <c r="L31" s="398">
        <f>K31/'État des Résultats'!K14</f>
        <v>1.5663690130439379E-3</v>
      </c>
      <c r="N31" s="397">
        <f>+N30*$H$76</f>
        <v>60</v>
      </c>
      <c r="O31" s="398">
        <f>N31/'État des Résultats'!N14</f>
        <v>1.4714375577079416E-3</v>
      </c>
      <c r="Q31" s="397">
        <f>+Q30*$H$76</f>
        <v>60</v>
      </c>
      <c r="R31" s="398">
        <f>Q31/'État des Résultats'!Q14</f>
        <v>1.305307510869948E-3</v>
      </c>
      <c r="T31" s="397">
        <f>+T30*$H$76</f>
        <v>60</v>
      </c>
      <c r="U31" s="398">
        <f>T31/'État des Résultats'!T14</f>
        <v>1.0790542089858237E-3</v>
      </c>
      <c r="W31" s="397">
        <f>+W30*$H$76</f>
        <v>60</v>
      </c>
      <c r="X31" s="398">
        <f>W31/'État des Résultats'!W14</f>
        <v>7.8318450652196893E-4</v>
      </c>
      <c r="Z31" s="397">
        <f>+Z30*$H$76</f>
        <v>60</v>
      </c>
      <c r="AA31" s="398">
        <f>Z31/'État des Résultats'!Z14</f>
        <v>8.7020500724663209E-4</v>
      </c>
      <c r="AC31" s="397">
        <f>+AC30*$H$76</f>
        <v>60</v>
      </c>
      <c r="AD31" s="398">
        <f>AC31/'État des Résultats'!AC14</f>
        <v>1.3488177612322799E-3</v>
      </c>
      <c r="AF31" s="397">
        <f>+AF30*$H$76</f>
        <v>60</v>
      </c>
      <c r="AG31" s="398">
        <f>AF31/'État des Résultats'!AF14</f>
        <v>1.4239718300399435E-3</v>
      </c>
      <c r="AI31" s="397">
        <f>+AI30*$H$76</f>
        <v>60</v>
      </c>
      <c r="AJ31" s="398">
        <f>AI31/'État des Résultats'!AI14</f>
        <v>1.6185813134787358E-3</v>
      </c>
      <c r="AK31" s="201"/>
      <c r="AL31" s="397">
        <f>+AL30*$H$76</f>
        <v>60</v>
      </c>
      <c r="AM31" s="398">
        <f>AL31/'État des Résultats'!AL14</f>
        <v>1.305307510869948E-3</v>
      </c>
      <c r="AP31" s="485">
        <f>SUM(+$AL31+$AI31+$AF31+$AC31+$Z31+$W31+$T31+$Q31+$N31+$K31+$H31+$E31)</f>
        <v>720</v>
      </c>
      <c r="AQ31" s="484">
        <f>AP31/'État des Résultats'!AP14</f>
        <v>1.2736377548685134E-3</v>
      </c>
    </row>
    <row r="32" spans="2:69" ht="14" thickBot="1" x14ac:dyDescent="0.2">
      <c r="B32" s="191">
        <f>B20</f>
        <v>6245</v>
      </c>
      <c r="C32" s="394" t="str">
        <f>' Total des coûts de MO'!C31</f>
        <v>CSST et CNT</v>
      </c>
      <c r="D32" s="191"/>
      <c r="E32" s="397">
        <f>(E30/100)*$F$72</f>
        <v>12</v>
      </c>
      <c r="F32" s="398">
        <f>E32/'État des Résultats'!E14</f>
        <v>3.1327380260878757E-4</v>
      </c>
      <c r="H32" s="397">
        <f>(H30/100)*$F$72</f>
        <v>12</v>
      </c>
      <c r="I32" s="398">
        <f>H32/'État des Résultats'!H14</f>
        <v>3.8537650320922282E-4</v>
      </c>
      <c r="K32" s="397">
        <f>(K30/100)*$F$72</f>
        <v>12</v>
      </c>
      <c r="L32" s="398">
        <f>K32/'État des Résultats'!K14</f>
        <v>3.1327380260878757E-4</v>
      </c>
      <c r="N32" s="397">
        <f>(N30/100)*$F$72</f>
        <v>12</v>
      </c>
      <c r="O32" s="398">
        <f>N32/'État des Résultats'!N14</f>
        <v>2.9428751154158829E-4</v>
      </c>
      <c r="Q32" s="397">
        <f>(Q30/100)*$F$72</f>
        <v>12</v>
      </c>
      <c r="R32" s="398">
        <f>Q32/'État des Résultats'!Q14</f>
        <v>2.6106150217398961E-4</v>
      </c>
      <c r="T32" s="397">
        <f>(T30/100)*$F$72</f>
        <v>12</v>
      </c>
      <c r="U32" s="398">
        <f>T32/'État des Résultats'!T14</f>
        <v>2.1581084179716475E-4</v>
      </c>
      <c r="W32" s="397">
        <f>(W30/100)*$F$72</f>
        <v>12</v>
      </c>
      <c r="X32" s="398">
        <f>W32/'État des Résultats'!W14</f>
        <v>1.5663690130439379E-4</v>
      </c>
      <c r="Z32" s="397">
        <f>(Z30/100)*$F$72</f>
        <v>12</v>
      </c>
      <c r="AA32" s="398">
        <f>Z32/'État des Résultats'!Z14</f>
        <v>1.7404100144932644E-4</v>
      </c>
      <c r="AC32" s="397">
        <f>(AC30/100)*$F$72</f>
        <v>12</v>
      </c>
      <c r="AD32" s="398">
        <f>AC32/'État des Résultats'!AC14</f>
        <v>2.6976355224645599E-4</v>
      </c>
      <c r="AF32" s="397">
        <f>(AF30/100)*$F$72</f>
        <v>12</v>
      </c>
      <c r="AG32" s="398">
        <f>AF32/'État des Résultats'!AF14</f>
        <v>2.8479436600798873E-4</v>
      </c>
      <c r="AI32" s="397">
        <f>(AI30/100)*$F$72</f>
        <v>12</v>
      </c>
      <c r="AJ32" s="398">
        <f>AI32/'État des Résultats'!AI14</f>
        <v>3.237162626957472E-4</v>
      </c>
      <c r="AK32" s="201"/>
      <c r="AL32" s="397">
        <f>(AL30/100)*$F$72</f>
        <v>12</v>
      </c>
      <c r="AM32" s="398">
        <f>AL32/'État des Résultats'!AL14</f>
        <v>2.6106150217398961E-4</v>
      </c>
      <c r="AP32" s="485">
        <f>SUM(+$AL32+$AI32+$AF32+$AC32+$Z32+$W32+$T32+$Q32+$N32+$K32+$H32+$E32)</f>
        <v>144</v>
      </c>
      <c r="AQ32" s="484">
        <f>AP32/'État des Résultats'!AP14</f>
        <v>2.547275509737027E-4</v>
      </c>
    </row>
    <row r="33" spans="2:52" ht="15" thickTop="1" thickBot="1" x14ac:dyDescent="0.2">
      <c r="B33" s="499"/>
      <c r="C33" s="501" t="s">
        <v>223</v>
      </c>
      <c r="D33" s="401"/>
      <c r="E33" s="408">
        <f>SUM(E30:E32)</f>
        <v>572</v>
      </c>
      <c r="F33" s="409">
        <f>+SUM(F30:F32)</f>
        <v>1.4932717924352207E-2</v>
      </c>
      <c r="G33" s="214"/>
      <c r="H33" s="408">
        <f>SUM(H30:H32)</f>
        <v>572</v>
      </c>
      <c r="I33" s="409">
        <f>+SUM(I30:I32)</f>
        <v>1.836961331963962E-2</v>
      </c>
      <c r="J33" s="214"/>
      <c r="K33" s="408">
        <f>SUM(K30:K32)</f>
        <v>572</v>
      </c>
      <c r="L33" s="409">
        <f>+SUM(L30:L32)</f>
        <v>1.4932717924352207E-2</v>
      </c>
      <c r="M33" s="214"/>
      <c r="N33" s="408">
        <f>SUM(N30:N32)</f>
        <v>572</v>
      </c>
      <c r="O33" s="409">
        <f>+SUM(O30:O32)</f>
        <v>1.4027704716815709E-2</v>
      </c>
      <c r="P33" s="214"/>
      <c r="Q33" s="408">
        <f>SUM(Q30:Q32)</f>
        <v>572</v>
      </c>
      <c r="R33" s="409">
        <f>+SUM(R30:R32)</f>
        <v>1.2443931603626838E-2</v>
      </c>
      <c r="S33" s="214"/>
      <c r="T33" s="408">
        <f>SUM(T30:T32)</f>
        <v>572</v>
      </c>
      <c r="U33" s="409">
        <f>+SUM(U30:U32)</f>
        <v>1.0286983458998188E-2</v>
      </c>
      <c r="V33" s="214"/>
      <c r="W33" s="408">
        <f>SUM(W30:W32)</f>
        <v>572</v>
      </c>
      <c r="X33" s="409">
        <f>+SUM(X30:X32)</f>
        <v>7.4663589621761037E-3</v>
      </c>
      <c r="Y33" s="214"/>
      <c r="Z33" s="408">
        <f>SUM(Z30:Z32)</f>
        <v>572</v>
      </c>
      <c r="AA33" s="409">
        <f>+SUM(AA30:AA32)</f>
        <v>8.2959544024178936E-3</v>
      </c>
      <c r="AB33" s="214"/>
      <c r="AC33" s="408">
        <f>SUM(AC30:AC32)</f>
        <v>572</v>
      </c>
      <c r="AD33" s="409">
        <f>+SUM(AD30:AD32)</f>
        <v>1.2858729323747736E-2</v>
      </c>
      <c r="AE33" s="214"/>
      <c r="AF33" s="408">
        <f>SUM(AF30:AF32)</f>
        <v>572</v>
      </c>
      <c r="AG33" s="409">
        <f>+SUM(AG30:AG32)</f>
        <v>1.3575198113047464E-2</v>
      </c>
      <c r="AH33" s="214"/>
      <c r="AI33" s="408">
        <f>SUM(AI30:AI32)</f>
        <v>572</v>
      </c>
      <c r="AJ33" s="409">
        <f>+SUM(AJ30:AJ32)</f>
        <v>1.5430475188497281E-2</v>
      </c>
      <c r="AK33" s="404"/>
      <c r="AL33" s="408">
        <f>SUM(AL30:AL32)</f>
        <v>572</v>
      </c>
      <c r="AM33" s="409">
        <f>+SUM(AM30:AM32)</f>
        <v>1.2443931603626838E-2</v>
      </c>
      <c r="AN33" s="214"/>
      <c r="AO33" s="214"/>
      <c r="AP33" s="417">
        <f>SUM(+$AL33+$AI33+$AF33+$AC33+$Z33+$W33+$T33+$Q33+$N33+$K33+$H33+$E33)</f>
        <v>6864</v>
      </c>
      <c r="AQ33" s="409">
        <f>AP33/'État des Résultats'!AP14</f>
        <v>1.2142013263079829E-2</v>
      </c>
      <c r="AR33" s="252"/>
      <c r="AS33" s="252"/>
    </row>
    <row r="34" spans="2:52" ht="15" thickTop="1" thickBot="1" x14ac:dyDescent="0.2">
      <c r="B34" s="504"/>
      <c r="C34" s="504"/>
      <c r="D34" s="504"/>
      <c r="E34" s="517"/>
      <c r="F34" s="513"/>
      <c r="G34" s="504"/>
      <c r="H34" s="517"/>
      <c r="I34" s="513"/>
      <c r="J34" s="504"/>
      <c r="K34" s="517"/>
      <c r="L34" s="513"/>
      <c r="M34" s="504"/>
      <c r="N34" s="517"/>
      <c r="O34" s="513"/>
      <c r="P34" s="504"/>
      <c r="Q34" s="517"/>
      <c r="R34" s="513"/>
      <c r="S34" s="504"/>
      <c r="T34" s="517"/>
      <c r="U34" s="513"/>
      <c r="V34" s="504"/>
      <c r="W34" s="517"/>
      <c r="X34" s="513"/>
      <c r="Y34" s="504"/>
      <c r="Z34" s="517"/>
      <c r="AA34" s="513"/>
      <c r="AB34" s="504"/>
      <c r="AC34" s="517"/>
      <c r="AD34" s="513"/>
      <c r="AE34" s="504"/>
      <c r="AF34" s="517"/>
      <c r="AG34" s="513"/>
      <c r="AH34" s="504"/>
      <c r="AI34" s="517"/>
      <c r="AJ34" s="513"/>
      <c r="AK34" s="504"/>
      <c r="AL34" s="517"/>
      <c r="AM34" s="513"/>
      <c r="AN34" s="504"/>
      <c r="AO34" s="504"/>
      <c r="AP34" s="514"/>
      <c r="AQ34" s="515"/>
    </row>
    <row r="35" spans="2:52" ht="15" thickTop="1" thickBot="1" x14ac:dyDescent="0.2">
      <c r="B35" s="547"/>
      <c r="C35" s="537" t="str">
        <f>' Total des coûts de MO'!C17</f>
        <v>Salaire "Finance &amp; Comptabilité"</v>
      </c>
      <c r="D35" s="191"/>
      <c r="E35" s="552"/>
      <c r="F35" s="539"/>
      <c r="H35" s="552"/>
      <c r="I35" s="539"/>
      <c r="K35" s="552"/>
      <c r="L35" s="539"/>
      <c r="N35" s="552"/>
      <c r="O35" s="539"/>
      <c r="Q35" s="552"/>
      <c r="R35" s="539"/>
      <c r="T35" s="552"/>
      <c r="U35" s="539"/>
      <c r="W35" s="552"/>
      <c r="X35" s="539"/>
      <c r="Z35" s="552"/>
      <c r="AA35" s="539"/>
      <c r="AC35" s="552"/>
      <c r="AD35" s="539"/>
      <c r="AF35" s="552"/>
      <c r="AG35" s="539"/>
      <c r="AI35" s="552"/>
      <c r="AJ35" s="539"/>
      <c r="AK35" s="201"/>
      <c r="AL35" s="552"/>
      <c r="AM35" s="539"/>
      <c r="AP35" s="540"/>
      <c r="AQ35" s="539"/>
    </row>
    <row r="36" spans="2:52" ht="14" thickTop="1" x14ac:dyDescent="0.15">
      <c r="B36" s="191">
        <f>' Total des coûts de MO'!B17</f>
        <v>6150</v>
      </c>
      <c r="C36" s="394" t="str">
        <f>' Total des coûts de MO'!C11</f>
        <v>Salaires</v>
      </c>
      <c r="D36" s="191">
        <v>0</v>
      </c>
      <c r="E36" s="406">
        <v>500</v>
      </c>
      <c r="F36" s="490">
        <f>E36/'État des Résultats'!E14</f>
        <v>1.3053075108699482E-2</v>
      </c>
      <c r="H36" s="406">
        <v>500</v>
      </c>
      <c r="I36" s="490">
        <f>H36/'État des Résultats'!H14</f>
        <v>1.6057354300384283E-2</v>
      </c>
      <c r="K36" s="406">
        <v>500</v>
      </c>
      <c r="L36" s="490">
        <f>K36/'État des Résultats'!K14</f>
        <v>1.3053075108699482E-2</v>
      </c>
      <c r="N36" s="406">
        <v>500</v>
      </c>
      <c r="O36" s="490">
        <f>N36/'État des Résultats'!N14</f>
        <v>1.226197964756618E-2</v>
      </c>
      <c r="Q36" s="406">
        <v>500</v>
      </c>
      <c r="R36" s="490">
        <f>Q36/'État des Résultats'!Q14</f>
        <v>1.0877562590582901E-2</v>
      </c>
      <c r="T36" s="406">
        <v>500</v>
      </c>
      <c r="U36" s="490">
        <f>T36/'État des Résultats'!T14</f>
        <v>8.9921184082151981E-3</v>
      </c>
      <c r="W36" s="406">
        <v>500</v>
      </c>
      <c r="X36" s="490">
        <f>W36/'État des Résultats'!W14</f>
        <v>6.5265375543497412E-3</v>
      </c>
      <c r="Z36" s="406">
        <v>500</v>
      </c>
      <c r="AA36" s="490">
        <f>Z36/'État des Résultats'!Z14</f>
        <v>7.2517083937219343E-3</v>
      </c>
      <c r="AC36" s="406">
        <v>500</v>
      </c>
      <c r="AD36" s="490">
        <f>AC36/'État des Résultats'!AC14</f>
        <v>1.1240148010268999E-2</v>
      </c>
      <c r="AF36" s="406">
        <v>500</v>
      </c>
      <c r="AG36" s="490">
        <f>AF36/'État des Résultats'!AF14</f>
        <v>1.186643191699953E-2</v>
      </c>
      <c r="AI36" s="406">
        <v>500</v>
      </c>
      <c r="AJ36" s="490">
        <f>AI36/'État des Résultats'!AI14</f>
        <v>1.3488177612322799E-2</v>
      </c>
      <c r="AK36" s="201"/>
      <c r="AL36" s="406">
        <v>500</v>
      </c>
      <c r="AM36" s="490">
        <f>AL36/'État des Résultats'!AL14</f>
        <v>1.0877562590582901E-2</v>
      </c>
      <c r="AP36" s="485">
        <f>SUM(+$AL36+$AI36+$AF36+$AC36+$Z36+$W36+$T36+$Q36+$N36+$K36+$H36+$E36)</f>
        <v>6000</v>
      </c>
      <c r="AQ36" s="484">
        <f>AP36/'État des Résultats'!AP14</f>
        <v>1.0613647957237612E-2</v>
      </c>
    </row>
    <row r="37" spans="2:52" x14ac:dyDescent="0.15">
      <c r="B37" s="191">
        <f>+B31</f>
        <v>6205</v>
      </c>
      <c r="C37" s="394" t="str">
        <f>' Total des coûts de MO'!C27</f>
        <v>Bénéfices gouvernementaux</v>
      </c>
      <c r="D37" s="191"/>
      <c r="E37" s="397">
        <f>+E36*$H$76</f>
        <v>60</v>
      </c>
      <c r="F37" s="418">
        <f>E37/'État des Résultats'!E14</f>
        <v>1.5663690130439379E-3</v>
      </c>
      <c r="H37" s="397">
        <f>+H36*$H$76</f>
        <v>60</v>
      </c>
      <c r="I37" s="418">
        <f>H37/'État des Résultats'!H14</f>
        <v>1.926882516046114E-3</v>
      </c>
      <c r="K37" s="397">
        <f>+K36*$H$76</f>
        <v>60</v>
      </c>
      <c r="L37" s="418">
        <f>K37/'État des Résultats'!K14</f>
        <v>1.5663690130439379E-3</v>
      </c>
      <c r="N37" s="397">
        <f>+N36*$H$76</f>
        <v>60</v>
      </c>
      <c r="O37" s="418">
        <f>N37/'État des Résultats'!N14</f>
        <v>1.4714375577079416E-3</v>
      </c>
      <c r="Q37" s="397">
        <f>+Q36*$H$76</f>
        <v>60</v>
      </c>
      <c r="R37" s="418">
        <f>Q37/'État des Résultats'!Q14</f>
        <v>1.305307510869948E-3</v>
      </c>
      <c r="T37" s="397">
        <f>+T36*$H$76</f>
        <v>60</v>
      </c>
      <c r="U37" s="418">
        <f>T37/'État des Résultats'!T14</f>
        <v>1.0790542089858237E-3</v>
      </c>
      <c r="W37" s="397">
        <f>+W36*$H$76</f>
        <v>60</v>
      </c>
      <c r="X37" s="418">
        <f>W37/'État des Résultats'!W14</f>
        <v>7.8318450652196893E-4</v>
      </c>
      <c r="Z37" s="397">
        <f>+Z36*$H$76</f>
        <v>60</v>
      </c>
      <c r="AA37" s="418">
        <f>Z37/'État des Résultats'!Z14</f>
        <v>8.7020500724663209E-4</v>
      </c>
      <c r="AC37" s="397">
        <f>+AC36*$H$76</f>
        <v>60</v>
      </c>
      <c r="AD37" s="418">
        <f>AC37/'État des Résultats'!AC14</f>
        <v>1.3488177612322799E-3</v>
      </c>
      <c r="AF37" s="397">
        <f>+AF36*$H$76</f>
        <v>60</v>
      </c>
      <c r="AG37" s="418">
        <f>AF37/'État des Résultats'!AF14</f>
        <v>1.4239718300399435E-3</v>
      </c>
      <c r="AI37" s="397">
        <f>+AI36*$H$76</f>
        <v>60</v>
      </c>
      <c r="AJ37" s="418">
        <f>AI37/'État des Résultats'!AI14</f>
        <v>1.6185813134787358E-3</v>
      </c>
      <c r="AK37" s="201"/>
      <c r="AL37" s="397">
        <f>+AL36*$H$76</f>
        <v>60</v>
      </c>
      <c r="AM37" s="418">
        <f>AL37/'État des Résultats'!AL14</f>
        <v>1.305307510869948E-3</v>
      </c>
      <c r="AP37" s="485">
        <f>SUM(+$AL37+$AI37+$AF37+$AC37+$Z37+$W37+$T37+$Q37+$N37+$K37+$H37+$E37)</f>
        <v>720</v>
      </c>
      <c r="AQ37" s="484">
        <f>AP37/'État des Résultats'!AP14</f>
        <v>1.2736377548685134E-3</v>
      </c>
    </row>
    <row r="38" spans="2:52" ht="14" thickBot="1" x14ac:dyDescent="0.2">
      <c r="B38" s="191">
        <f>B32</f>
        <v>6245</v>
      </c>
      <c r="C38" s="394" t="str">
        <f>' Total des coûts de MO'!C31</f>
        <v>CSST et CNT</v>
      </c>
      <c r="D38" s="419"/>
      <c r="E38" s="397">
        <f>(E36/100)*$F$72</f>
        <v>12</v>
      </c>
      <c r="F38" s="420">
        <f>E38/'État des Résultats'!E14</f>
        <v>3.1327380260878757E-4</v>
      </c>
      <c r="G38" s="421"/>
      <c r="H38" s="397">
        <f>(H36/100)*$F$72</f>
        <v>12</v>
      </c>
      <c r="I38" s="420">
        <f>H38/'État des Résultats'!H14</f>
        <v>3.8537650320922282E-4</v>
      </c>
      <c r="J38" s="421"/>
      <c r="K38" s="397">
        <f>(K36/100)*$F$72</f>
        <v>12</v>
      </c>
      <c r="L38" s="420">
        <f>K38/'État des Résultats'!K14</f>
        <v>3.1327380260878757E-4</v>
      </c>
      <c r="M38" s="316"/>
      <c r="N38" s="397">
        <f>(N36/100)*$F$72</f>
        <v>12</v>
      </c>
      <c r="O38" s="420">
        <f>N38/'État des Résultats'!N14</f>
        <v>2.9428751154158829E-4</v>
      </c>
      <c r="P38" s="421"/>
      <c r="Q38" s="397">
        <f>(Q36/100)*$F$72</f>
        <v>12</v>
      </c>
      <c r="R38" s="420">
        <f>Q38/'État des Résultats'!Q14</f>
        <v>2.6106150217398961E-4</v>
      </c>
      <c r="S38" s="421"/>
      <c r="T38" s="397">
        <f>(T36/100)*$F$72</f>
        <v>12</v>
      </c>
      <c r="U38" s="420">
        <f>T38/'État des Résultats'!T14</f>
        <v>2.1581084179716475E-4</v>
      </c>
      <c r="V38" s="421"/>
      <c r="W38" s="397">
        <f>(W36/100)*$F$72</f>
        <v>12</v>
      </c>
      <c r="X38" s="420">
        <f>W38/'État des Résultats'!W14</f>
        <v>1.5663690130439379E-4</v>
      </c>
      <c r="Y38" s="421"/>
      <c r="Z38" s="397">
        <f>(Z36/100)*$F$72</f>
        <v>12</v>
      </c>
      <c r="AA38" s="420">
        <f>Z38/'État des Résultats'!Z14</f>
        <v>1.7404100144932644E-4</v>
      </c>
      <c r="AB38" s="421"/>
      <c r="AC38" s="397">
        <f>(AC36/100)*$F$72</f>
        <v>12</v>
      </c>
      <c r="AD38" s="420">
        <f>AC38/'État des Résultats'!AC14</f>
        <v>2.6976355224645599E-4</v>
      </c>
      <c r="AE38" s="421"/>
      <c r="AF38" s="397">
        <f>(AF36/100)*$F$72</f>
        <v>12</v>
      </c>
      <c r="AG38" s="420">
        <f>AF38/'État des Résultats'!AF14</f>
        <v>2.8479436600798873E-4</v>
      </c>
      <c r="AH38" s="421"/>
      <c r="AI38" s="397">
        <f>(AI36/100)*$F$72</f>
        <v>12</v>
      </c>
      <c r="AJ38" s="420">
        <f>AI38/'État des Résultats'!AI14</f>
        <v>3.237162626957472E-4</v>
      </c>
      <c r="AK38" s="422"/>
      <c r="AL38" s="397">
        <f>(AL36/100)*$F$72</f>
        <v>12</v>
      </c>
      <c r="AM38" s="420">
        <f>AL38/'État des Résultats'!AL14</f>
        <v>2.6106150217398961E-4</v>
      </c>
      <c r="AN38" s="421"/>
      <c r="AO38" s="421"/>
      <c r="AP38" s="485">
        <f>SUM(+$AL38+$AI38+$AF38+$AC38+$Z38+$W38+$T38+$Q38+$N38+$K38+$H38+$E38)</f>
        <v>144</v>
      </c>
      <c r="AQ38" s="484">
        <f>AP38/'État des Résultats'!AP14</f>
        <v>2.547275509737027E-4</v>
      </c>
    </row>
    <row r="39" spans="2:52" ht="15" thickTop="1" thickBot="1" x14ac:dyDescent="0.2">
      <c r="B39" s="499"/>
      <c r="C39" s="500" t="s">
        <v>224</v>
      </c>
      <c r="D39" s="401"/>
      <c r="E39" s="408">
        <f>SUM(E36:E38)</f>
        <v>572</v>
      </c>
      <c r="F39" s="423">
        <f>SUM(F36:F38)</f>
        <v>1.4932717924352207E-2</v>
      </c>
      <c r="G39" s="214"/>
      <c r="H39" s="408">
        <f>SUM(H36:H38)</f>
        <v>572</v>
      </c>
      <c r="I39" s="423">
        <f>SUM(I36:I38)</f>
        <v>1.836961331963962E-2</v>
      </c>
      <c r="J39" s="214"/>
      <c r="K39" s="408">
        <f>SUM(K36:K38)</f>
        <v>572</v>
      </c>
      <c r="L39" s="423">
        <f>SUM(L36:L38)</f>
        <v>1.4932717924352207E-2</v>
      </c>
      <c r="M39" s="214"/>
      <c r="N39" s="408">
        <f>SUM(N36:N38)</f>
        <v>572</v>
      </c>
      <c r="O39" s="423">
        <f>SUM(O36:O38)</f>
        <v>1.4027704716815709E-2</v>
      </c>
      <c r="P39" s="214"/>
      <c r="Q39" s="408">
        <f>SUM(Q36:Q38)</f>
        <v>572</v>
      </c>
      <c r="R39" s="423">
        <f>SUM(R36:R38)</f>
        <v>1.2443931603626838E-2</v>
      </c>
      <c r="S39" s="214"/>
      <c r="T39" s="408">
        <f>SUM(T36:T38)</f>
        <v>572</v>
      </c>
      <c r="U39" s="423">
        <f>SUM(U36:U38)</f>
        <v>1.0286983458998188E-2</v>
      </c>
      <c r="V39" s="214"/>
      <c r="W39" s="408">
        <f>SUM(W36:W38)</f>
        <v>572</v>
      </c>
      <c r="X39" s="423">
        <f>SUM(X36:X38)</f>
        <v>7.4663589621761037E-3</v>
      </c>
      <c r="Y39" s="214"/>
      <c r="Z39" s="408">
        <f>SUM(Z36:Z38)</f>
        <v>572</v>
      </c>
      <c r="AA39" s="423">
        <f>SUM(AA36:AA38)</f>
        <v>8.2959544024178936E-3</v>
      </c>
      <c r="AB39" s="214"/>
      <c r="AC39" s="408">
        <f>SUM(AC36:AC38)</f>
        <v>572</v>
      </c>
      <c r="AD39" s="423">
        <f>SUM(AD36:AD38)</f>
        <v>1.2858729323747736E-2</v>
      </c>
      <c r="AE39" s="214"/>
      <c r="AF39" s="408">
        <f>SUM(AF36:AF38)</f>
        <v>572</v>
      </c>
      <c r="AG39" s="423">
        <f>SUM(AG36:AG38)</f>
        <v>1.3575198113047464E-2</v>
      </c>
      <c r="AH39" s="214"/>
      <c r="AI39" s="408">
        <f>SUM(AI36:AI38)</f>
        <v>572</v>
      </c>
      <c r="AJ39" s="423">
        <f>SUM(AJ36:AJ38)</f>
        <v>1.5430475188497281E-2</v>
      </c>
      <c r="AK39" s="404"/>
      <c r="AL39" s="408">
        <f>SUM(AL36:AL38)</f>
        <v>572</v>
      </c>
      <c r="AM39" s="423">
        <f>SUM(AM36:AM38)</f>
        <v>1.2443931603626838E-2</v>
      </c>
      <c r="AN39" s="214"/>
      <c r="AO39" s="214"/>
      <c r="AP39" s="417">
        <f>SUM(+$AL39+$AI39+$AF39+$AC39+$Z39+$W39+$T39+$Q39+$N39+$K39+$H39+$E39)</f>
        <v>6864</v>
      </c>
      <c r="AQ39" s="423">
        <f>AP39/'État des Résultats'!AP14</f>
        <v>1.2142013263079829E-2</v>
      </c>
      <c r="AR39" s="252"/>
    </row>
    <row r="40" spans="2:52" ht="15" thickTop="1" thickBot="1" x14ac:dyDescent="0.2">
      <c r="B40" s="504"/>
      <c r="C40" s="504"/>
      <c r="D40" s="504"/>
      <c r="E40" s="518"/>
      <c r="F40" s="519"/>
      <c r="G40" s="504"/>
      <c r="H40" s="518"/>
      <c r="I40" s="519"/>
      <c r="J40" s="504"/>
      <c r="K40" s="518"/>
      <c r="L40" s="519"/>
      <c r="M40" s="504"/>
      <c r="N40" s="518"/>
      <c r="O40" s="519"/>
      <c r="P40" s="504"/>
      <c r="Q40" s="518"/>
      <c r="R40" s="519"/>
      <c r="S40" s="504"/>
      <c r="T40" s="518"/>
      <c r="U40" s="519"/>
      <c r="V40" s="504"/>
      <c r="W40" s="518"/>
      <c r="X40" s="519"/>
      <c r="Y40" s="504"/>
      <c r="Z40" s="518"/>
      <c r="AA40" s="519"/>
      <c r="AB40" s="504"/>
      <c r="AC40" s="518"/>
      <c r="AD40" s="519"/>
      <c r="AE40" s="504"/>
      <c r="AF40" s="518"/>
      <c r="AG40" s="519"/>
      <c r="AH40" s="504"/>
      <c r="AI40" s="518"/>
      <c r="AJ40" s="519"/>
      <c r="AK40" s="504"/>
      <c r="AL40" s="518"/>
      <c r="AM40" s="519"/>
      <c r="AN40" s="504"/>
      <c r="AO40" s="504"/>
      <c r="AP40" s="514"/>
      <c r="AQ40" s="520"/>
    </row>
    <row r="41" spans="2:52" ht="15" thickTop="1" thickBot="1" x14ac:dyDescent="0.2">
      <c r="B41" s="548"/>
      <c r="C41" s="549" t="str">
        <f>' Total des coûts de MO'!C18</f>
        <v>Salaire "Marketing &amp; Communication"</v>
      </c>
      <c r="D41" s="191"/>
      <c r="E41" s="552"/>
      <c r="F41" s="545"/>
      <c r="H41" s="552"/>
      <c r="I41" s="545"/>
      <c r="K41" s="552"/>
      <c r="L41" s="545"/>
      <c r="N41" s="552"/>
      <c r="O41" s="545"/>
      <c r="Q41" s="552"/>
      <c r="R41" s="545"/>
      <c r="T41" s="552"/>
      <c r="U41" s="545"/>
      <c r="W41" s="552"/>
      <c r="X41" s="545"/>
      <c r="Z41" s="552"/>
      <c r="AA41" s="545"/>
      <c r="AC41" s="552"/>
      <c r="AD41" s="545"/>
      <c r="AF41" s="552"/>
      <c r="AG41" s="545"/>
      <c r="AI41" s="552"/>
      <c r="AJ41" s="545"/>
      <c r="AK41" s="201"/>
      <c r="AL41" s="552"/>
      <c r="AM41" s="545"/>
      <c r="AP41" s="540"/>
      <c r="AQ41" s="545"/>
    </row>
    <row r="42" spans="2:52" x14ac:dyDescent="0.15">
      <c r="B42" s="191">
        <f>' Total des coûts de MO'!B18</f>
        <v>6160</v>
      </c>
      <c r="C42" s="394" t="str">
        <f>' Total des coûts de MO'!C11</f>
        <v>Salaires</v>
      </c>
      <c r="D42" s="191"/>
      <c r="E42" s="406">
        <v>1500</v>
      </c>
      <c r="F42" s="489">
        <f>E42/'État des Résultats'!E14</f>
        <v>3.9159225326098446E-2</v>
      </c>
      <c r="H42" s="406">
        <v>1500</v>
      </c>
      <c r="I42" s="489">
        <f>H42/'État des Résultats'!H14</f>
        <v>4.8172062901152855E-2</v>
      </c>
      <c r="K42" s="406">
        <v>1500</v>
      </c>
      <c r="L42" s="489">
        <f>K42/'État des Résultats'!K14</f>
        <v>3.9159225326098446E-2</v>
      </c>
      <c r="N42" s="406">
        <v>1500</v>
      </c>
      <c r="O42" s="489">
        <f>N42/'État des Résultats'!N14</f>
        <v>3.6785938942698541E-2</v>
      </c>
      <c r="Q42" s="406">
        <v>1500</v>
      </c>
      <c r="R42" s="489">
        <f>Q42/'État des Résultats'!Q14</f>
        <v>3.26326877717487E-2</v>
      </c>
      <c r="T42" s="406">
        <v>1500</v>
      </c>
      <c r="U42" s="489">
        <f>T42/'État des Résultats'!T14</f>
        <v>2.6976355224645594E-2</v>
      </c>
      <c r="W42" s="406">
        <v>1500</v>
      </c>
      <c r="X42" s="489">
        <f>W42/'État des Résultats'!W14</f>
        <v>1.9579612663049223E-2</v>
      </c>
      <c r="Z42" s="406">
        <v>1500</v>
      </c>
      <c r="AA42" s="489">
        <f>Z42/'État des Résultats'!Z14</f>
        <v>2.1755125181165805E-2</v>
      </c>
      <c r="AC42" s="406">
        <v>1500</v>
      </c>
      <c r="AD42" s="489">
        <f>AC42/'État des Résultats'!AC14</f>
        <v>3.3720444030806998E-2</v>
      </c>
      <c r="AF42" s="406">
        <v>1500</v>
      </c>
      <c r="AG42" s="489">
        <f>AF42/'État des Résultats'!AF14</f>
        <v>3.5599295750998586E-2</v>
      </c>
      <c r="AI42" s="406">
        <v>1500</v>
      </c>
      <c r="AJ42" s="489">
        <f>AI42/'État des Résultats'!AI14</f>
        <v>4.0464532836968395E-2</v>
      </c>
      <c r="AK42" s="201"/>
      <c r="AL42" s="406">
        <v>1500</v>
      </c>
      <c r="AM42" s="489">
        <f>AL42/'État des Résultats'!AL14</f>
        <v>3.26326877717487E-2</v>
      </c>
      <c r="AP42" s="485">
        <f>SUM(+$AL42+$AI42+$AF42+$AC42+$Z42+$W42+$T42+$Q42+$N42+$K42+$H42+$E42)</f>
        <v>18000</v>
      </c>
      <c r="AQ42" s="484">
        <f>AP42/'État des Résultats'!AP14</f>
        <v>3.1840943871712837E-2</v>
      </c>
    </row>
    <row r="43" spans="2:52" x14ac:dyDescent="0.15">
      <c r="B43" s="191">
        <f>+B37</f>
        <v>6205</v>
      </c>
      <c r="C43" s="394" t="str">
        <f>' Total des coûts de MO'!C27</f>
        <v>Bénéfices gouvernementaux</v>
      </c>
      <c r="D43" s="191"/>
      <c r="E43" s="397">
        <f>+E42*$H$76</f>
        <v>180</v>
      </c>
      <c r="F43" s="425">
        <f>E43/'État des Résultats'!E14</f>
        <v>4.6991070391318134E-3</v>
      </c>
      <c r="H43" s="397">
        <f>+H42*$H$76</f>
        <v>180</v>
      </c>
      <c r="I43" s="425">
        <f>H43/'État des Résultats'!H14</f>
        <v>5.7806475481383419E-3</v>
      </c>
      <c r="K43" s="397">
        <f>+K42*$H$76</f>
        <v>180</v>
      </c>
      <c r="L43" s="425">
        <f>K43/'État des Résultats'!K14</f>
        <v>4.6991070391318134E-3</v>
      </c>
      <c r="N43" s="397">
        <f>+N42*$H$76</f>
        <v>180</v>
      </c>
      <c r="O43" s="425">
        <f>N43/'État des Résultats'!N14</f>
        <v>4.414312673123825E-3</v>
      </c>
      <c r="Q43" s="397">
        <f>+Q42*$H$76</f>
        <v>180</v>
      </c>
      <c r="R43" s="425">
        <f>Q43/'État des Résultats'!Q14</f>
        <v>3.9159225326098439E-3</v>
      </c>
      <c r="T43" s="397">
        <f>+T42*$H$76</f>
        <v>180</v>
      </c>
      <c r="U43" s="425">
        <f>T43/'État des Résultats'!T14</f>
        <v>3.2371626269574712E-3</v>
      </c>
      <c r="W43" s="397">
        <f>+W42*$H$76</f>
        <v>180</v>
      </c>
      <c r="X43" s="425">
        <f>W43/'État des Résultats'!W14</f>
        <v>2.3495535195659067E-3</v>
      </c>
      <c r="Z43" s="397">
        <f>+Z42*$H$76</f>
        <v>180</v>
      </c>
      <c r="AA43" s="425">
        <f>Z43/'État des Résultats'!Z14</f>
        <v>2.6106150217398965E-3</v>
      </c>
      <c r="AC43" s="397">
        <f>+AC42*$H$76</f>
        <v>180</v>
      </c>
      <c r="AD43" s="425">
        <f>AC43/'État des Résultats'!AC14</f>
        <v>4.0464532836968397E-3</v>
      </c>
      <c r="AF43" s="397">
        <f>+AF42*$H$76</f>
        <v>180</v>
      </c>
      <c r="AG43" s="425">
        <f>AF43/'État des Résultats'!AF14</f>
        <v>4.2719154901198304E-3</v>
      </c>
      <c r="AI43" s="397">
        <f>+AI42*$H$76</f>
        <v>180</v>
      </c>
      <c r="AJ43" s="425">
        <f>AI43/'État des Résultats'!AI14</f>
        <v>4.8557439404362072E-3</v>
      </c>
      <c r="AK43" s="201"/>
      <c r="AL43" s="397">
        <f>+AL42*$H$76</f>
        <v>180</v>
      </c>
      <c r="AM43" s="425">
        <f>AL43/'État des Résultats'!AL14</f>
        <v>3.9159225326098439E-3</v>
      </c>
      <c r="AP43" s="485">
        <f>SUM(+$AL43+$AI43+$AF43+$AC43+$Z43+$W43+$T43+$Q43+$N43+$K43+$H43+$E43)</f>
        <v>2160</v>
      </c>
      <c r="AQ43" s="484">
        <f>AP43/'État des Résultats'!AP14</f>
        <v>3.8209132646055406E-3</v>
      </c>
      <c r="AY43" s="675" t="s">
        <v>2</v>
      </c>
      <c r="AZ43" s="676" t="s">
        <v>2</v>
      </c>
    </row>
    <row r="44" spans="2:52" x14ac:dyDescent="0.15">
      <c r="B44" s="191">
        <f>B38</f>
        <v>6245</v>
      </c>
      <c r="C44" s="394" t="str">
        <f>' Total des coûts de MO'!C31</f>
        <v>CSST et CNT</v>
      </c>
      <c r="D44" s="191"/>
      <c r="E44" s="397">
        <f>(E42/100)*$F$72</f>
        <v>36</v>
      </c>
      <c r="F44" s="425">
        <f>E44/'État des Résultats'!E14</f>
        <v>9.3982140782636271E-4</v>
      </c>
      <c r="H44" s="397">
        <f>(H42/100)*$F$72</f>
        <v>36</v>
      </c>
      <c r="I44" s="425">
        <f>H44/'État des Résultats'!H14</f>
        <v>1.1561295096276685E-3</v>
      </c>
      <c r="K44" s="397">
        <f>(K42/100)*$F$72</f>
        <v>36</v>
      </c>
      <c r="L44" s="425">
        <f>K44/'État des Résultats'!K14</f>
        <v>9.3982140782636271E-4</v>
      </c>
      <c r="N44" s="397">
        <f>(N42/100)*$F$72</f>
        <v>36</v>
      </c>
      <c r="O44" s="425">
        <f>N44/'État des Résultats'!N14</f>
        <v>8.8286253462476491E-4</v>
      </c>
      <c r="Q44" s="397">
        <f>(Q42/100)*$F$72</f>
        <v>36</v>
      </c>
      <c r="R44" s="425">
        <f>Q44/'État des Résultats'!Q14</f>
        <v>7.8318450652196882E-4</v>
      </c>
      <c r="T44" s="397">
        <f>(T42/100)*$F$72</f>
        <v>36</v>
      </c>
      <c r="U44" s="425">
        <f>T44/'État des Résultats'!T14</f>
        <v>6.4743252539149428E-4</v>
      </c>
      <c r="W44" s="397">
        <f>(W42/100)*$F$72</f>
        <v>36</v>
      </c>
      <c r="X44" s="425">
        <f>W44/'État des Résultats'!W14</f>
        <v>4.6991070391318136E-4</v>
      </c>
      <c r="Z44" s="397">
        <f>(Z42/100)*$F$72</f>
        <v>36</v>
      </c>
      <c r="AA44" s="425">
        <f>Z44/'État des Résultats'!Z14</f>
        <v>5.2212300434797932E-4</v>
      </c>
      <c r="AC44" s="397">
        <f>(AC42/100)*$F$72</f>
        <v>36</v>
      </c>
      <c r="AD44" s="425">
        <f>AC44/'État des Résultats'!AC14</f>
        <v>8.0929065673936791E-4</v>
      </c>
      <c r="AF44" s="397">
        <f>(AF42/100)*$F$72</f>
        <v>36</v>
      </c>
      <c r="AG44" s="425">
        <f>AF44/'État des Résultats'!AF14</f>
        <v>8.5438309802396612E-4</v>
      </c>
      <c r="AI44" s="397">
        <f>(AI42/100)*$F$72</f>
        <v>36</v>
      </c>
      <c r="AJ44" s="425">
        <f>AI44/'État des Résultats'!AI14</f>
        <v>9.7114878808724154E-4</v>
      </c>
      <c r="AK44" s="201"/>
      <c r="AL44" s="397">
        <f>(AL42/100)*$F$72</f>
        <v>36</v>
      </c>
      <c r="AM44" s="425">
        <f>AL44/'État des Résultats'!AL14</f>
        <v>7.8318450652196882E-4</v>
      </c>
      <c r="AP44" s="485">
        <f>SUM(+$AL44+$AI44+$AF44+$AC44+$Z44+$W44+$T44+$Q44+$N44+$K44+$H44+$E44)</f>
        <v>432</v>
      </c>
      <c r="AQ44" s="484">
        <f>AP44/'État des Résultats'!AP14</f>
        <v>7.641826529211081E-4</v>
      </c>
    </row>
    <row r="45" spans="2:52" ht="14" thickBot="1" x14ac:dyDescent="0.2">
      <c r="B45" s="399"/>
      <c r="C45" s="400" t="s">
        <v>225</v>
      </c>
      <c r="D45" s="401"/>
      <c r="E45" s="408">
        <f>SUM(E42:E44)</f>
        <v>1716</v>
      </c>
      <c r="F45" s="409">
        <f>SUM(F42:F44)</f>
        <v>4.4798153773056626E-2</v>
      </c>
      <c r="G45" s="214"/>
      <c r="H45" s="408">
        <f>SUM(H42:H44)</f>
        <v>1716</v>
      </c>
      <c r="I45" s="409">
        <f>SUM(I42:I44)</f>
        <v>5.5108839958918861E-2</v>
      </c>
      <c r="J45" s="214"/>
      <c r="K45" s="408">
        <f>SUM(K42:K44)</f>
        <v>1716</v>
      </c>
      <c r="L45" s="409">
        <f>SUM(L42:L44)</f>
        <v>4.4798153773056626E-2</v>
      </c>
      <c r="M45" s="214"/>
      <c r="N45" s="408">
        <f>SUM(N42:N44)</f>
        <v>1716</v>
      </c>
      <c r="O45" s="409">
        <f>SUM(O42:O44)</f>
        <v>4.2083114150447132E-2</v>
      </c>
      <c r="P45" s="214"/>
      <c r="Q45" s="408">
        <f>SUM(Q42:Q44)</f>
        <v>1716</v>
      </c>
      <c r="R45" s="409">
        <f>SUM(R42:R44)</f>
        <v>3.7331794810880517E-2</v>
      </c>
      <c r="S45" s="214"/>
      <c r="T45" s="408">
        <f>SUM(T42:T44)</f>
        <v>1716</v>
      </c>
      <c r="U45" s="409">
        <f>SUM(U42:U44)</f>
        <v>3.0860950376994559E-2</v>
      </c>
      <c r="V45" s="214"/>
      <c r="W45" s="408">
        <f>SUM(W42:W44)</f>
        <v>1716</v>
      </c>
      <c r="X45" s="409">
        <f>SUM(X42:X44)</f>
        <v>2.2399076886528313E-2</v>
      </c>
      <c r="Y45" s="214"/>
      <c r="Z45" s="408">
        <f>SUM(Z42:Z44)</f>
        <v>1716</v>
      </c>
      <c r="AA45" s="409">
        <f>SUM(AA42:AA44)</f>
        <v>2.4887863207253683E-2</v>
      </c>
      <c r="AB45" s="214"/>
      <c r="AC45" s="408">
        <f>SUM(AC42:AC44)</f>
        <v>1716</v>
      </c>
      <c r="AD45" s="409">
        <f>SUM(AD42:AD44)</f>
        <v>3.8576187971243209E-2</v>
      </c>
      <c r="AE45" s="214"/>
      <c r="AF45" s="408">
        <f>SUM(AF42:AF44)</f>
        <v>1716</v>
      </c>
      <c r="AG45" s="409">
        <f>SUM(AG42:AG44)</f>
        <v>4.0725594339142378E-2</v>
      </c>
      <c r="AH45" s="214"/>
      <c r="AI45" s="408">
        <f>SUM(AI42:AI44)</f>
        <v>1716</v>
      </c>
      <c r="AJ45" s="409">
        <f>SUM(AJ42:AJ44)</f>
        <v>4.6291425565491845E-2</v>
      </c>
      <c r="AK45" s="404"/>
      <c r="AL45" s="408">
        <f>SUM(AL42:AL44)</f>
        <v>1716</v>
      </c>
      <c r="AM45" s="409">
        <f>SUM(AM42:AM44)</f>
        <v>3.7331794810880517E-2</v>
      </c>
      <c r="AN45" s="214"/>
      <c r="AO45" s="214"/>
      <c r="AP45" s="417">
        <f>SUM(+$AL45+$AI45+$AF45+$AC45+$Z45+$W45+$T45+$Q45+$N45+$K45+$H45+$E45)</f>
        <v>20592</v>
      </c>
      <c r="AQ45" s="423">
        <f>AP45/'État des Résultats'!AP14</f>
        <v>3.6426039789239487E-2</v>
      </c>
      <c r="AR45" s="252"/>
      <c r="AS45" s="252"/>
      <c r="AT45" s="252"/>
    </row>
    <row r="46" spans="2:52" ht="14" thickBot="1" x14ac:dyDescent="0.2">
      <c r="B46" s="504"/>
      <c r="C46" s="504"/>
      <c r="D46" s="504"/>
      <c r="E46" s="518"/>
      <c r="F46" s="521"/>
      <c r="G46" s="504"/>
      <c r="H46" s="518"/>
      <c r="I46" s="521"/>
      <c r="J46" s="504"/>
      <c r="K46" s="518"/>
      <c r="L46" s="521"/>
      <c r="M46" s="504"/>
      <c r="N46" s="518"/>
      <c r="O46" s="521"/>
      <c r="P46" s="504"/>
      <c r="Q46" s="518"/>
      <c r="R46" s="521"/>
      <c r="S46" s="504"/>
      <c r="T46" s="518"/>
      <c r="U46" s="521"/>
      <c r="V46" s="504"/>
      <c r="W46" s="518"/>
      <c r="X46" s="521"/>
      <c r="Y46" s="504"/>
      <c r="Z46" s="518"/>
      <c r="AA46" s="521"/>
      <c r="AB46" s="504"/>
      <c r="AC46" s="518"/>
      <c r="AD46" s="521"/>
      <c r="AE46" s="504"/>
      <c r="AF46" s="518"/>
      <c r="AG46" s="521"/>
      <c r="AH46" s="504"/>
      <c r="AI46" s="518"/>
      <c r="AJ46" s="521"/>
      <c r="AK46" s="504"/>
      <c r="AL46" s="518"/>
      <c r="AM46" s="521"/>
      <c r="AN46" s="504"/>
      <c r="AO46" s="504"/>
      <c r="AP46" s="514" t="s">
        <v>2</v>
      </c>
      <c r="AQ46" s="520"/>
    </row>
    <row r="47" spans="2:52" ht="15" thickTop="1" thickBot="1" x14ac:dyDescent="0.2">
      <c r="B47" s="547"/>
      <c r="C47" s="537" t="str">
        <f>' Total des coûts de MO'!C19</f>
        <v>Salaire "Théâtralisation"</v>
      </c>
      <c r="D47" s="191"/>
      <c r="E47" s="552"/>
      <c r="F47" s="539"/>
      <c r="H47" s="552"/>
      <c r="I47" s="539"/>
      <c r="K47" s="552"/>
      <c r="L47" s="539"/>
      <c r="N47" s="552"/>
      <c r="O47" s="539"/>
      <c r="Q47" s="552"/>
      <c r="R47" s="539"/>
      <c r="T47" s="552"/>
      <c r="U47" s="539"/>
      <c r="W47" s="552"/>
      <c r="X47" s="539"/>
      <c r="Z47" s="552"/>
      <c r="AA47" s="539"/>
      <c r="AC47" s="552"/>
      <c r="AD47" s="539"/>
      <c r="AF47" s="552"/>
      <c r="AG47" s="539"/>
      <c r="AI47" s="552"/>
      <c r="AJ47" s="539"/>
      <c r="AK47" s="201"/>
      <c r="AL47" s="552"/>
      <c r="AM47" s="539"/>
      <c r="AP47" s="540"/>
      <c r="AQ47" s="545"/>
    </row>
    <row r="48" spans="2:52" ht="14" thickTop="1" x14ac:dyDescent="0.15">
      <c r="B48" s="191">
        <f>' Total des coûts de MO'!B19</f>
        <v>6170</v>
      </c>
      <c r="C48" s="394" t="str">
        <f>' Total des coûts de MO'!C11</f>
        <v>Salaires</v>
      </c>
      <c r="D48" s="191"/>
      <c r="E48" s="406">
        <v>1023</v>
      </c>
      <c r="F48" s="489">
        <f>+E48/'État des Résultats'!E14</f>
        <v>2.6706591672399142E-2</v>
      </c>
      <c r="H48" s="406">
        <v>924</v>
      </c>
      <c r="I48" s="489">
        <f>+H48/'État des Résultats'!H14</f>
        <v>2.9673990747110156E-2</v>
      </c>
      <c r="K48" s="406">
        <v>1000</v>
      </c>
      <c r="L48" s="489">
        <f>+K48/'État des Résultats'!K14</f>
        <v>2.6106150217398965E-2</v>
      </c>
      <c r="N48" s="406">
        <v>1000</v>
      </c>
      <c r="O48" s="489">
        <f>+N48/'État des Résultats'!N14</f>
        <v>2.4523959295132361E-2</v>
      </c>
      <c r="Q48" s="406">
        <v>1000</v>
      </c>
      <c r="R48" s="489">
        <f>+Q48/'État des Résultats'!Q14</f>
        <v>2.1755125181165801E-2</v>
      </c>
      <c r="T48" s="406">
        <v>1000</v>
      </c>
      <c r="U48" s="489">
        <f>+T48/'État des Résultats'!T14</f>
        <v>1.7984236816430396E-2</v>
      </c>
      <c r="W48" s="406">
        <v>1000</v>
      </c>
      <c r="X48" s="489">
        <f>+W48/'État des Résultats'!W14</f>
        <v>1.3053075108699482E-2</v>
      </c>
      <c r="Z48" s="406">
        <v>1000</v>
      </c>
      <c r="AA48" s="489">
        <f>+Z48/'État des Résultats'!Z14</f>
        <v>1.4503416787443869E-2</v>
      </c>
      <c r="AC48" s="406">
        <v>1000</v>
      </c>
      <c r="AD48" s="489">
        <f>+AC48/'État des Résultats'!AC14</f>
        <v>2.2480296020537999E-2</v>
      </c>
      <c r="AF48" s="406">
        <v>1000</v>
      </c>
      <c r="AG48" s="489">
        <f>+AF48/'État des Résultats'!AF14</f>
        <v>2.3732863833999061E-2</v>
      </c>
      <c r="AI48" s="406">
        <v>1000</v>
      </c>
      <c r="AJ48" s="489">
        <f>+AI48/'État des Résultats'!AI14</f>
        <v>2.6976355224645598E-2</v>
      </c>
      <c r="AK48" s="201"/>
      <c r="AL48" s="406">
        <v>1000</v>
      </c>
      <c r="AM48" s="489">
        <f>+AL48/'État des Résultats'!AL14</f>
        <v>2.1755125181165801E-2</v>
      </c>
      <c r="AP48" s="485">
        <f>SUM(+$AL48+$AI48+$AF48+$AC48+$Z48+$W48+$T48+$Q48+$N48+$K48+$H48+$E48)</f>
        <v>11947</v>
      </c>
      <c r="AQ48" s="484">
        <f>AP48/'État des Résultats'!AP14</f>
        <v>2.1133542024186294E-2</v>
      </c>
    </row>
    <row r="49" spans="2:53" x14ac:dyDescent="0.15">
      <c r="B49" s="191">
        <f>+B43</f>
        <v>6205</v>
      </c>
      <c r="C49" s="394" t="str">
        <f>' Total des coûts de MO'!C27</f>
        <v>Bénéfices gouvernementaux</v>
      </c>
      <c r="D49" s="191"/>
      <c r="E49" s="397">
        <f>+E48*$H$76</f>
        <v>122.75999999999999</v>
      </c>
      <c r="F49" s="425">
        <f>E49/'État des Résultats'!E14</f>
        <v>3.2047910006878966E-3</v>
      </c>
      <c r="H49" s="397">
        <f>+H48*$H$76</f>
        <v>110.88</v>
      </c>
      <c r="I49" s="425">
        <f>H49/'État des Résultats'!H14</f>
        <v>3.5608788896532187E-3</v>
      </c>
      <c r="K49" s="397">
        <f>+K48*$H$76</f>
        <v>120</v>
      </c>
      <c r="L49" s="425">
        <f>K49/'État des Résultats'!K14</f>
        <v>3.1327380260878757E-3</v>
      </c>
      <c r="N49" s="397">
        <f>+N48*$H$76</f>
        <v>120</v>
      </c>
      <c r="O49" s="425">
        <f>N49/'État des Résultats'!N14</f>
        <v>2.9428751154158832E-3</v>
      </c>
      <c r="Q49" s="397">
        <f>+Q48*$H$76</f>
        <v>120</v>
      </c>
      <c r="R49" s="425">
        <f>Q49/'État des Résultats'!Q14</f>
        <v>2.6106150217398961E-3</v>
      </c>
      <c r="T49" s="397">
        <f>+T48*$H$76</f>
        <v>120</v>
      </c>
      <c r="U49" s="425">
        <f>T49/'État des Résultats'!T14</f>
        <v>2.1581084179716475E-3</v>
      </c>
      <c r="W49" s="397">
        <f>+W48*$H$76</f>
        <v>120</v>
      </c>
      <c r="X49" s="425">
        <f>W49/'État des Résultats'!W14</f>
        <v>1.5663690130439379E-3</v>
      </c>
      <c r="Z49" s="397">
        <f>+Z48*$H$76</f>
        <v>120</v>
      </c>
      <c r="AA49" s="425">
        <f>Z49/'État des Résultats'!Z14</f>
        <v>1.7404100144932642E-3</v>
      </c>
      <c r="AC49" s="397">
        <f>+AC48*$H$76</f>
        <v>120</v>
      </c>
      <c r="AD49" s="425">
        <f>AC49/'État des Résultats'!AC14</f>
        <v>2.6976355224645598E-3</v>
      </c>
      <c r="AF49" s="397">
        <f>+AF48*$H$76</f>
        <v>120</v>
      </c>
      <c r="AG49" s="425">
        <f>AF49/'État des Résultats'!AF14</f>
        <v>2.8479436600798869E-3</v>
      </c>
      <c r="AI49" s="397">
        <f>+AI48*$H$76</f>
        <v>120</v>
      </c>
      <c r="AJ49" s="425">
        <f>AI49/'État des Résultats'!AI14</f>
        <v>3.2371626269574716E-3</v>
      </c>
      <c r="AK49" s="201"/>
      <c r="AL49" s="397">
        <f>+AL48*$H$76</f>
        <v>120</v>
      </c>
      <c r="AM49" s="425">
        <f>AL49/'État des Résultats'!AL14</f>
        <v>2.6106150217398961E-3</v>
      </c>
      <c r="AP49" s="485">
        <f>SUM(+$AL49+$AI49+$AF49+$AC49+$Z49+$W49+$T49+$Q49+$N49+$K49+$H49+$E49)</f>
        <v>1433.64</v>
      </c>
      <c r="AQ49" s="484">
        <f>AP49/'État des Résultats'!AP14</f>
        <v>2.5360250429023552E-3</v>
      </c>
    </row>
    <row r="50" spans="2:53" ht="14" thickBot="1" x14ac:dyDescent="0.2">
      <c r="B50" s="191">
        <f>B44</f>
        <v>6245</v>
      </c>
      <c r="C50" s="394" t="str">
        <f>' Total des coûts de MO'!C31</f>
        <v>CSST et CNT</v>
      </c>
      <c r="D50" s="191"/>
      <c r="E50" s="397">
        <f>(E48/100)*$F$72</f>
        <v>24.552</v>
      </c>
      <c r="F50" s="426">
        <f>E50/'État des Résultats'!E14</f>
        <v>6.4095820013757943E-4</v>
      </c>
      <c r="H50" s="397">
        <f>(H48/100)*$F$72</f>
        <v>22.175999999999998</v>
      </c>
      <c r="I50" s="426">
        <f>H50/'État des Résultats'!H14</f>
        <v>7.1217577793064374E-4</v>
      </c>
      <c r="K50" s="397">
        <f>(K48/100)*$F$72</f>
        <v>24</v>
      </c>
      <c r="L50" s="426">
        <f>K50/'État des Résultats'!K14</f>
        <v>6.2654760521757514E-4</v>
      </c>
      <c r="N50" s="397">
        <f>(N48/100)*$F$72</f>
        <v>24</v>
      </c>
      <c r="O50" s="426">
        <f>N50/'État des Résultats'!N14</f>
        <v>5.8857502308317657E-4</v>
      </c>
      <c r="Q50" s="397">
        <f>(Q48/100)*$F$72</f>
        <v>24</v>
      </c>
      <c r="R50" s="426">
        <f>Q50/'État des Résultats'!Q14</f>
        <v>5.2212300434797921E-4</v>
      </c>
      <c r="T50" s="397">
        <f>(T48/100)*$F$72</f>
        <v>24</v>
      </c>
      <c r="U50" s="426">
        <f>T50/'État des Résultats'!T14</f>
        <v>4.3162168359432951E-4</v>
      </c>
      <c r="W50" s="397">
        <f>(W48/100)*$F$72</f>
        <v>24</v>
      </c>
      <c r="X50" s="426">
        <f>W50/'État des Résultats'!W14</f>
        <v>3.1327380260878757E-4</v>
      </c>
      <c r="Z50" s="397">
        <f>(Z48/100)*$F$72</f>
        <v>24</v>
      </c>
      <c r="AA50" s="426">
        <f>Z50/'État des Résultats'!Z14</f>
        <v>3.4808200289865288E-4</v>
      </c>
      <c r="AC50" s="397">
        <f>(AC48/100)*$F$72</f>
        <v>24</v>
      </c>
      <c r="AD50" s="426">
        <f>AC50/'État des Résultats'!AC14</f>
        <v>5.3952710449291198E-4</v>
      </c>
      <c r="AF50" s="397">
        <f>(AF48/100)*$F$72</f>
        <v>24</v>
      </c>
      <c r="AG50" s="426">
        <f>AF50/'État des Résultats'!AF14</f>
        <v>5.6958873201597745E-4</v>
      </c>
      <c r="AI50" s="397">
        <f>(AI48/100)*$F$72</f>
        <v>24</v>
      </c>
      <c r="AJ50" s="426">
        <f>AI50/'État des Résultats'!AI14</f>
        <v>6.4743252539149439E-4</v>
      </c>
      <c r="AK50" s="201"/>
      <c r="AL50" s="397">
        <f>(AL48/100)*$F$72</f>
        <v>24</v>
      </c>
      <c r="AM50" s="426">
        <f>AL50/'État des Résultats'!AL14</f>
        <v>5.2212300434797921E-4</v>
      </c>
      <c r="AP50" s="486">
        <f>SUM(+$AL50+$AI50+$AF50+$AC50+$Z50+$W50+$T50+$Q50+$N50+$K50+$H50+$E50)</f>
        <v>286.72800000000001</v>
      </c>
      <c r="AQ50" s="484">
        <f>AP50/'État des Résultats'!AP14</f>
        <v>5.0720500858047102E-4</v>
      </c>
    </row>
    <row r="51" spans="2:53" ht="15" thickTop="1" thickBot="1" x14ac:dyDescent="0.2">
      <c r="B51" s="499"/>
      <c r="C51" s="500" t="s">
        <v>226</v>
      </c>
      <c r="D51" s="401"/>
      <c r="E51" s="408">
        <f>SUM(E48:E50)</f>
        <v>1170.3119999999999</v>
      </c>
      <c r="F51" s="409">
        <f>SUM(F48:F50)</f>
        <v>3.0552340873224618E-2</v>
      </c>
      <c r="G51" s="214"/>
      <c r="H51" s="408">
        <f>SUM(H48:H50)</f>
        <v>1057.056</v>
      </c>
      <c r="I51" s="409">
        <f>SUM(I48:I50)</f>
        <v>3.3947045414694017E-2</v>
      </c>
      <c r="J51" s="214"/>
      <c r="K51" s="408">
        <f>SUM(K48:K50)</f>
        <v>1144</v>
      </c>
      <c r="L51" s="409">
        <f>SUM(L48:L50)</f>
        <v>2.9865435848704415E-2</v>
      </c>
      <c r="M51" s="214"/>
      <c r="N51" s="408">
        <f>SUM(N48:N50)</f>
        <v>1144</v>
      </c>
      <c r="O51" s="409">
        <f>SUM(O48:O50)</f>
        <v>2.8055409433631419E-2</v>
      </c>
      <c r="P51" s="214"/>
      <c r="Q51" s="408">
        <f>SUM(Q48:Q50)</f>
        <v>1144</v>
      </c>
      <c r="R51" s="409">
        <f>SUM(R48:R50)</f>
        <v>2.4887863207253676E-2</v>
      </c>
      <c r="S51" s="214"/>
      <c r="T51" s="408">
        <f>SUM(T48:T50)</f>
        <v>1144</v>
      </c>
      <c r="U51" s="409">
        <f>SUM(U48:U50)</f>
        <v>2.0573966917996376E-2</v>
      </c>
      <c r="V51" s="214"/>
      <c r="W51" s="408">
        <f>SUM(W48:W50)</f>
        <v>1144</v>
      </c>
      <c r="X51" s="409">
        <f>SUM(X48:X50)</f>
        <v>1.4932717924352207E-2</v>
      </c>
      <c r="Y51" s="214"/>
      <c r="Z51" s="408">
        <f>SUM(Z48:Z50)</f>
        <v>1144</v>
      </c>
      <c r="AA51" s="409">
        <f>SUM(AA48:AA50)</f>
        <v>1.6591908804835787E-2</v>
      </c>
      <c r="AB51" s="214"/>
      <c r="AC51" s="408">
        <f>SUM(AC48:AC50)</f>
        <v>1144</v>
      </c>
      <c r="AD51" s="409">
        <f>SUM(AD48:AD50)</f>
        <v>2.5717458647495473E-2</v>
      </c>
      <c r="AE51" s="214"/>
      <c r="AF51" s="408">
        <f>SUM(AF48:AF50)</f>
        <v>1144</v>
      </c>
      <c r="AG51" s="409">
        <f>SUM(AG48:AG50)</f>
        <v>2.7150396226094928E-2</v>
      </c>
      <c r="AH51" s="214"/>
      <c r="AI51" s="408">
        <f>SUM(AI48:AI50)</f>
        <v>1144</v>
      </c>
      <c r="AJ51" s="409">
        <f>SUM(AJ48:AJ50)</f>
        <v>3.0860950376994562E-2</v>
      </c>
      <c r="AK51" s="404"/>
      <c r="AL51" s="408">
        <f>SUM(AL48:AL50)</f>
        <v>1144</v>
      </c>
      <c r="AM51" s="409">
        <f>SUM(AM48:AM50)</f>
        <v>2.4887863207253676E-2</v>
      </c>
      <c r="AN51" s="214"/>
      <c r="AO51" s="214"/>
      <c r="AP51" s="417">
        <f>SUM(+$AL51+$AI51+$AF51+$AC51+$Z51+$W51+$T51+$Q51+$N51+$K51+$H51+$E51)</f>
        <v>13667.368</v>
      </c>
      <c r="AQ51" s="427">
        <f>AP51/'État des Résultats'!AP14</f>
        <v>2.4176772075669119E-2</v>
      </c>
      <c r="AR51" s="252"/>
      <c r="AS51" s="252"/>
      <c r="AT51" s="252"/>
      <c r="AU51" s="252"/>
    </row>
    <row r="52" spans="2:53" ht="15" thickTop="1" thickBot="1" x14ac:dyDescent="0.2">
      <c r="B52" s="509"/>
      <c r="C52" s="522"/>
      <c r="D52" s="522"/>
      <c r="E52" s="523"/>
      <c r="F52" s="524"/>
      <c r="G52" s="522"/>
      <c r="H52" s="523"/>
      <c r="I52" s="524"/>
      <c r="J52" s="522"/>
      <c r="K52" s="523"/>
      <c r="L52" s="524"/>
      <c r="M52" s="522"/>
      <c r="N52" s="523"/>
      <c r="O52" s="524"/>
      <c r="P52" s="522"/>
      <c r="Q52" s="523"/>
      <c r="R52" s="524"/>
      <c r="S52" s="522"/>
      <c r="T52" s="523"/>
      <c r="U52" s="524"/>
      <c r="V52" s="522"/>
      <c r="W52" s="523"/>
      <c r="X52" s="524"/>
      <c r="Y52" s="522"/>
      <c r="Z52" s="523"/>
      <c r="AA52" s="524"/>
      <c r="AB52" s="522"/>
      <c r="AC52" s="523"/>
      <c r="AD52" s="524"/>
      <c r="AE52" s="522"/>
      <c r="AF52" s="523"/>
      <c r="AG52" s="524"/>
      <c r="AH52" s="522"/>
      <c r="AI52" s="523"/>
      <c r="AJ52" s="524"/>
      <c r="AK52" s="522"/>
      <c r="AL52" s="523"/>
      <c r="AM52" s="524"/>
      <c r="AN52" s="522"/>
      <c r="AO52" s="522"/>
      <c r="AP52" s="525"/>
      <c r="AQ52" s="524"/>
      <c r="AR52" s="330"/>
      <c r="AS52" s="252"/>
      <c r="AT52" s="252"/>
      <c r="AU52" s="252"/>
    </row>
    <row r="53" spans="2:53" ht="15" thickTop="1" thickBot="1" x14ac:dyDescent="0.2">
      <c r="B53" s="547"/>
      <c r="C53" s="537" t="str">
        <f>' Total des coûts de MO'!C20</f>
        <v>Salaire "R&amp;D"</v>
      </c>
      <c r="D53" s="191"/>
      <c r="E53" s="552"/>
      <c r="F53" s="539"/>
      <c r="H53" s="552"/>
      <c r="I53" s="539"/>
      <c r="K53" s="552"/>
      <c r="L53" s="539"/>
      <c r="N53" s="552"/>
      <c r="O53" s="539"/>
      <c r="Q53" s="552"/>
      <c r="R53" s="539"/>
      <c r="T53" s="552"/>
      <c r="U53" s="539"/>
      <c r="W53" s="552"/>
      <c r="X53" s="539"/>
      <c r="Z53" s="552"/>
      <c r="AA53" s="539"/>
      <c r="AC53" s="552"/>
      <c r="AD53" s="539"/>
      <c r="AF53" s="552"/>
      <c r="AG53" s="539"/>
      <c r="AI53" s="551"/>
      <c r="AJ53" s="553"/>
      <c r="AK53" s="201"/>
      <c r="AL53" s="552"/>
      <c r="AM53" s="539"/>
      <c r="AP53" s="540"/>
      <c r="AQ53" s="545"/>
      <c r="AR53" s="330"/>
      <c r="AS53" s="252"/>
      <c r="AT53" s="252"/>
      <c r="AU53" s="252"/>
    </row>
    <row r="54" spans="2:53" ht="14" thickTop="1" x14ac:dyDescent="0.15">
      <c r="B54" s="191">
        <f>' Total des coûts de MO'!B20</f>
        <v>6180</v>
      </c>
      <c r="C54" s="394" t="str">
        <f>' Total des coûts de MO'!C11</f>
        <v>Salaires</v>
      </c>
      <c r="D54" s="191"/>
      <c r="E54" s="406">
        <v>500</v>
      </c>
      <c r="F54" s="489">
        <f>E54/'État des Résultats'!E14</f>
        <v>1.3053075108699482E-2</v>
      </c>
      <c r="H54" s="406">
        <v>5000</v>
      </c>
      <c r="I54" s="489">
        <f>H54/'État des Résultats'!H14</f>
        <v>0.16057354300384283</v>
      </c>
      <c r="K54" s="406">
        <v>500</v>
      </c>
      <c r="L54" s="489">
        <f>K54/'État des Résultats'!K14</f>
        <v>1.3053075108699482E-2</v>
      </c>
      <c r="N54" s="406">
        <v>500</v>
      </c>
      <c r="O54" s="489">
        <f>N54/'État des Résultats'!N14</f>
        <v>1.226197964756618E-2</v>
      </c>
      <c r="Q54" s="406">
        <v>500</v>
      </c>
      <c r="R54" s="489">
        <f>Q54/'État des Résultats'!Q14</f>
        <v>1.0877562590582901E-2</v>
      </c>
      <c r="T54" s="406">
        <v>500</v>
      </c>
      <c r="U54" s="489">
        <f>T54/'État des Résultats'!T14</f>
        <v>8.9921184082151981E-3</v>
      </c>
      <c r="W54" s="406">
        <v>500</v>
      </c>
      <c r="X54" s="489">
        <f>W54/'État des Résultats'!W14</f>
        <v>6.5265375543497412E-3</v>
      </c>
      <c r="Z54" s="406">
        <v>500</v>
      </c>
      <c r="AA54" s="489">
        <f>Z54/'État des Résultats'!Z14</f>
        <v>7.2517083937219343E-3</v>
      </c>
      <c r="AC54" s="406">
        <v>500</v>
      </c>
      <c r="AD54" s="489">
        <f>AC54/'État des Résultats'!AC14</f>
        <v>1.1240148010268999E-2</v>
      </c>
      <c r="AF54" s="406">
        <v>500</v>
      </c>
      <c r="AG54" s="489">
        <f>AF54/'État des Résultats'!AF14</f>
        <v>1.186643191699953E-2</v>
      </c>
      <c r="AI54" s="406">
        <v>500</v>
      </c>
      <c r="AJ54" s="489">
        <f>AI54/'État des Résultats'!AI14</f>
        <v>1.3488177612322799E-2</v>
      </c>
      <c r="AK54" s="201"/>
      <c r="AL54" s="406">
        <v>500</v>
      </c>
      <c r="AM54" s="489">
        <f>AL54/'État des Résultats'!AL14</f>
        <v>1.0877562590582901E-2</v>
      </c>
      <c r="AP54" s="485">
        <f>SUM(+$AL54+$AI54+$AF54+$AC54+$Z54+$W54+$T54+$Q54+$N54+$K54+$H54+$E54)</f>
        <v>10500</v>
      </c>
      <c r="AQ54" s="484">
        <f>AP54/'État des Résultats'!AP14</f>
        <v>1.8573883925165822E-2</v>
      </c>
      <c r="AR54" s="330"/>
      <c r="AS54" s="252"/>
      <c r="AT54" s="252"/>
      <c r="AU54" s="252"/>
    </row>
    <row r="55" spans="2:53" x14ac:dyDescent="0.15">
      <c r="B55" s="191">
        <f>+B49</f>
        <v>6205</v>
      </c>
      <c r="C55" s="394" t="str">
        <f>' Total des coûts de MO'!C27</f>
        <v>Bénéfices gouvernementaux</v>
      </c>
      <c r="D55" s="191"/>
      <c r="E55" s="397">
        <f>+E54*$H$76</f>
        <v>60</v>
      </c>
      <c r="F55" s="425">
        <f>E55/'État des Résultats'!E14</f>
        <v>1.5663690130439379E-3</v>
      </c>
      <c r="H55" s="397">
        <f>+H54*$H$76</f>
        <v>600</v>
      </c>
      <c r="I55" s="425">
        <f>H55/'État des Résultats'!H14</f>
        <v>1.9268825160461141E-2</v>
      </c>
      <c r="K55" s="397">
        <f>+K54*$H$76</f>
        <v>60</v>
      </c>
      <c r="L55" s="425">
        <f>K55/'État des Résultats'!K14</f>
        <v>1.5663690130439379E-3</v>
      </c>
      <c r="N55" s="397">
        <f>+N54*$H$76</f>
        <v>60</v>
      </c>
      <c r="O55" s="425">
        <f>N55/'État des Résultats'!N14</f>
        <v>1.4714375577079416E-3</v>
      </c>
      <c r="Q55" s="397">
        <f>+Q54*$H$76</f>
        <v>60</v>
      </c>
      <c r="R55" s="425">
        <f>Q55/'État des Résultats'!Q14</f>
        <v>1.305307510869948E-3</v>
      </c>
      <c r="T55" s="397">
        <f>+T54*$H$76</f>
        <v>60</v>
      </c>
      <c r="U55" s="425">
        <f>T55/'État des Résultats'!T14</f>
        <v>1.0790542089858237E-3</v>
      </c>
      <c r="W55" s="397">
        <f>+W54*$H$76</f>
        <v>60</v>
      </c>
      <c r="X55" s="425">
        <f>W55/'État des Résultats'!W14</f>
        <v>7.8318450652196893E-4</v>
      </c>
      <c r="Z55" s="397">
        <f>+Z54*$H$76</f>
        <v>60</v>
      </c>
      <c r="AA55" s="425">
        <f>Z55/'État des Résultats'!Z14</f>
        <v>8.7020500724663209E-4</v>
      </c>
      <c r="AC55" s="397">
        <f>+AC54*$H$76</f>
        <v>60</v>
      </c>
      <c r="AD55" s="425">
        <f>AC55/'État des Résultats'!AC14</f>
        <v>1.3488177612322799E-3</v>
      </c>
      <c r="AF55" s="397">
        <f>+AF54*$H$76</f>
        <v>60</v>
      </c>
      <c r="AG55" s="425">
        <f>AF55/'État des Résultats'!AF14</f>
        <v>1.4239718300399435E-3</v>
      </c>
      <c r="AI55" s="397">
        <f>+AI54*$H$76</f>
        <v>60</v>
      </c>
      <c r="AJ55" s="425">
        <f>AI55/'État des Résultats'!AI14</f>
        <v>1.6185813134787358E-3</v>
      </c>
      <c r="AK55" s="201"/>
      <c r="AL55" s="397">
        <f>+AL54*$H$76</f>
        <v>60</v>
      </c>
      <c r="AM55" s="425">
        <f>AL55/'État des Résultats'!AL14</f>
        <v>1.305307510869948E-3</v>
      </c>
      <c r="AP55" s="485">
        <f>SUM(+$AL55+$AI55+$AF55+$AC55+$Z55+$W55+$T55+$Q55+$N55+$K55+$H55+$E55)</f>
        <v>1260</v>
      </c>
      <c r="AQ55" s="484">
        <f>AP55/'État des Résultats'!AP14</f>
        <v>2.2288660710198986E-3</v>
      </c>
      <c r="AR55" s="330"/>
      <c r="AS55" s="252"/>
      <c r="AT55" s="252"/>
      <c r="AU55" s="252"/>
    </row>
    <row r="56" spans="2:53" ht="14" thickBot="1" x14ac:dyDescent="0.2">
      <c r="B56" s="191">
        <f>B50</f>
        <v>6245</v>
      </c>
      <c r="C56" s="394" t="str">
        <f>' Total des coûts de MO'!C31</f>
        <v>CSST et CNT</v>
      </c>
      <c r="D56" s="191"/>
      <c r="E56" s="397">
        <f>(E54/100)*$F$72</f>
        <v>12</v>
      </c>
      <c r="F56" s="426">
        <f>E56/'État des Résultats'!E14</f>
        <v>3.1327380260878757E-4</v>
      </c>
      <c r="H56" s="397">
        <f>(H54/100)*$F$72</f>
        <v>120</v>
      </c>
      <c r="I56" s="426">
        <f>H56/'État des Résultats'!H14</f>
        <v>3.8537650320922281E-3</v>
      </c>
      <c r="K56" s="397">
        <f>(K54/100)*$F$72</f>
        <v>12</v>
      </c>
      <c r="L56" s="426">
        <f>K56/'État des Résultats'!K14</f>
        <v>3.1327380260878757E-4</v>
      </c>
      <c r="N56" s="397">
        <f>(N54/100)*$F$72</f>
        <v>12</v>
      </c>
      <c r="O56" s="426">
        <f>N56/'État des Résultats'!N14</f>
        <v>2.9428751154158829E-4</v>
      </c>
      <c r="Q56" s="397">
        <f>(Q54/100)*$F$72</f>
        <v>12</v>
      </c>
      <c r="R56" s="426">
        <f>Q56/'État des Résultats'!Q14</f>
        <v>2.6106150217398961E-4</v>
      </c>
      <c r="T56" s="397">
        <f>(T54/100)*$F$72</f>
        <v>12</v>
      </c>
      <c r="U56" s="426">
        <f>T56/'État des Résultats'!T14</f>
        <v>2.1581084179716475E-4</v>
      </c>
      <c r="W56" s="397">
        <f>(W54/100)*$F$72</f>
        <v>12</v>
      </c>
      <c r="X56" s="426">
        <f>W56/'État des Résultats'!W14</f>
        <v>1.5663690130439379E-4</v>
      </c>
      <c r="Z56" s="397">
        <f>(Z54/100)*$F$72</f>
        <v>12</v>
      </c>
      <c r="AA56" s="426">
        <f>Z56/'État des Résultats'!Z14</f>
        <v>1.7404100144932644E-4</v>
      </c>
      <c r="AC56" s="397">
        <f>(AC54/100)*$F$72</f>
        <v>12</v>
      </c>
      <c r="AD56" s="426">
        <f>AC56/'État des Résultats'!AC14</f>
        <v>2.6976355224645599E-4</v>
      </c>
      <c r="AF56" s="397">
        <f>(AF54/100)*$F$72</f>
        <v>12</v>
      </c>
      <c r="AG56" s="426">
        <f>AF56/'État des Résultats'!AF14</f>
        <v>2.8479436600798873E-4</v>
      </c>
      <c r="AI56" s="397">
        <f>(AI54/100)*$F$72</f>
        <v>12</v>
      </c>
      <c r="AJ56" s="426">
        <f>AI56/'État des Résultats'!AI14</f>
        <v>3.237162626957472E-4</v>
      </c>
      <c r="AK56" s="201"/>
      <c r="AL56" s="397">
        <f>(AL54/100)*$F$72</f>
        <v>12</v>
      </c>
      <c r="AM56" s="426">
        <f>AL56/'État des Résultats'!AL14</f>
        <v>2.6106150217398961E-4</v>
      </c>
      <c r="AP56" s="486">
        <f>SUM(+$AL56+$AI56+$AF56+$AC56+$Z56+$W56+$T56+$Q56+$N56+$K56+$H56+$E56)</f>
        <v>252</v>
      </c>
      <c r="AQ56" s="484">
        <f>AP56/'État des Résultats'!AP14</f>
        <v>4.457732142039797E-4</v>
      </c>
      <c r="AR56" s="330"/>
      <c r="AS56" s="252"/>
      <c r="AT56" s="252"/>
      <c r="AU56" s="252"/>
    </row>
    <row r="57" spans="2:53" ht="15" thickTop="1" thickBot="1" x14ac:dyDescent="0.2">
      <c r="B57" s="499"/>
      <c r="C57" s="500" t="s">
        <v>227</v>
      </c>
      <c r="D57" s="401"/>
      <c r="E57" s="408">
        <f>SUM(E54:E56)</f>
        <v>572</v>
      </c>
      <c r="F57" s="409">
        <f>SUM(F54:F56)</f>
        <v>1.4932717924352207E-2</v>
      </c>
      <c r="G57" s="214"/>
      <c r="H57" s="408">
        <f>SUM(H54:H56)</f>
        <v>5720</v>
      </c>
      <c r="I57" s="409">
        <f>SUM(I54:I56)</f>
        <v>0.18369613319639619</v>
      </c>
      <c r="J57" s="214"/>
      <c r="K57" s="408">
        <f>SUM(K54:K56)</f>
        <v>572</v>
      </c>
      <c r="L57" s="409">
        <f>SUM(L54:L56)</f>
        <v>1.4932717924352207E-2</v>
      </c>
      <c r="M57" s="214"/>
      <c r="N57" s="408">
        <f>SUM(N54:N56)</f>
        <v>572</v>
      </c>
      <c r="O57" s="409">
        <f>SUM(O54:O56)</f>
        <v>1.4027704716815709E-2</v>
      </c>
      <c r="P57" s="214"/>
      <c r="Q57" s="408">
        <f>SUM(Q54:Q56)</f>
        <v>572</v>
      </c>
      <c r="R57" s="409">
        <f>SUM(R54:R56)</f>
        <v>1.2443931603626838E-2</v>
      </c>
      <c r="S57" s="214"/>
      <c r="T57" s="408">
        <f>SUM(T54:T56)</f>
        <v>572</v>
      </c>
      <c r="U57" s="409">
        <f>SUM(U54:U56)</f>
        <v>1.0286983458998188E-2</v>
      </c>
      <c r="V57" s="214"/>
      <c r="W57" s="408">
        <f>SUM(W54:W56)</f>
        <v>572</v>
      </c>
      <c r="X57" s="409">
        <f>SUM(X54:X56)</f>
        <v>7.4663589621761037E-3</v>
      </c>
      <c r="Y57" s="214"/>
      <c r="Z57" s="408">
        <f>SUM(Z54:Z56)</f>
        <v>572</v>
      </c>
      <c r="AA57" s="409">
        <f>SUM(AA54:AA56)</f>
        <v>8.2959544024178936E-3</v>
      </c>
      <c r="AB57" s="214"/>
      <c r="AC57" s="408">
        <f>SUM(AC54:AC56)</f>
        <v>572</v>
      </c>
      <c r="AD57" s="409">
        <f>SUM(AD54:AD56)</f>
        <v>1.2858729323747736E-2</v>
      </c>
      <c r="AE57" s="214"/>
      <c r="AF57" s="408">
        <f>SUM(AF54:AF56)</f>
        <v>572</v>
      </c>
      <c r="AG57" s="409">
        <f>SUM(AG54:AG56)</f>
        <v>1.3575198113047464E-2</v>
      </c>
      <c r="AH57" s="214"/>
      <c r="AI57" s="408">
        <f>SUM(AI54:AI56)</f>
        <v>572</v>
      </c>
      <c r="AJ57" s="409">
        <f>SUM(AJ54:AJ56)</f>
        <v>1.5430475188497281E-2</v>
      </c>
      <c r="AK57" s="404"/>
      <c r="AL57" s="408">
        <f>SUM(AL54:AL56)</f>
        <v>572</v>
      </c>
      <c r="AM57" s="409">
        <f>SUM(AM54:AM56)</f>
        <v>1.2443931603626838E-2</v>
      </c>
      <c r="AN57" s="214"/>
      <c r="AO57" s="214"/>
      <c r="AP57" s="417">
        <f>SUM(+$AL57+$AI57+$AF57+$AC57+$Z57+$W57+$T57+$Q57+$N57+$K57+$H57+$E57)</f>
        <v>12012</v>
      </c>
      <c r="AQ57" s="427">
        <f>AP57/'État des Résultats'!AP14</f>
        <v>2.1248523210389701E-2</v>
      </c>
      <c r="AR57" s="330"/>
      <c r="AS57" s="252"/>
      <c r="AT57" s="252"/>
      <c r="AU57" s="252"/>
    </row>
    <row r="58" spans="2:53" ht="15" thickTop="1" thickBot="1" x14ac:dyDescent="0.2">
      <c r="B58" s="504"/>
      <c r="C58" s="504"/>
      <c r="D58" s="504"/>
      <c r="E58" s="518"/>
      <c r="F58" s="521"/>
      <c r="G58" s="504"/>
      <c r="H58" s="518"/>
      <c r="I58" s="521"/>
      <c r="J58" s="504"/>
      <c r="K58" s="518"/>
      <c r="L58" s="521"/>
      <c r="M58" s="504"/>
      <c r="N58" s="518"/>
      <c r="O58" s="521"/>
      <c r="P58" s="504"/>
      <c r="Q58" s="518"/>
      <c r="R58" s="521"/>
      <c r="S58" s="504"/>
      <c r="T58" s="518"/>
      <c r="U58" s="521"/>
      <c r="V58" s="504"/>
      <c r="W58" s="518"/>
      <c r="X58" s="521"/>
      <c r="Y58" s="504"/>
      <c r="Z58" s="518"/>
      <c r="AA58" s="521"/>
      <c r="AB58" s="504"/>
      <c r="AC58" s="518"/>
      <c r="AD58" s="521"/>
      <c r="AE58" s="504"/>
      <c r="AF58" s="518"/>
      <c r="AG58" s="521"/>
      <c r="AH58" s="504"/>
      <c r="AI58" s="518"/>
      <c r="AJ58" s="521"/>
      <c r="AK58" s="504"/>
      <c r="AL58" s="518"/>
      <c r="AM58" s="521"/>
      <c r="AN58" s="504"/>
      <c r="AO58" s="504"/>
      <c r="AP58" s="514"/>
      <c r="AQ58" s="526"/>
    </row>
    <row r="59" spans="2:53" ht="15" thickTop="1" thickBot="1" x14ac:dyDescent="0.2">
      <c r="B59" s="547"/>
      <c r="C59" s="537" t="str">
        <f>' Total des coûts de MO'!C21</f>
        <v>Salaire "Autres"</v>
      </c>
      <c r="D59" s="550"/>
      <c r="E59" s="552"/>
      <c r="F59" s="539"/>
      <c r="H59" s="552"/>
      <c r="I59" s="539"/>
      <c r="K59" s="552"/>
      <c r="L59" s="539"/>
      <c r="N59" s="552"/>
      <c r="O59" s="539"/>
      <c r="Q59" s="552"/>
      <c r="R59" s="539"/>
      <c r="T59" s="552"/>
      <c r="U59" s="539"/>
      <c r="W59" s="552"/>
      <c r="X59" s="539"/>
      <c r="Z59" s="552"/>
      <c r="AA59" s="539"/>
      <c r="AC59" s="552"/>
      <c r="AD59" s="539"/>
      <c r="AF59" s="552"/>
      <c r="AG59" s="539"/>
      <c r="AI59" s="552"/>
      <c r="AJ59" s="539"/>
      <c r="AK59" s="201"/>
      <c r="AL59" s="552"/>
      <c r="AM59" s="539"/>
      <c r="AP59" s="540"/>
      <c r="AQ59" s="545"/>
      <c r="AR59" s="210"/>
      <c r="AS59" s="210"/>
      <c r="AT59" s="210"/>
      <c r="AU59" s="210"/>
      <c r="AV59" s="210"/>
      <c r="AW59" s="210"/>
      <c r="AX59" s="210"/>
      <c r="AY59" s="210"/>
      <c r="AZ59" s="210"/>
      <c r="BA59" s="210"/>
    </row>
    <row r="60" spans="2:53" ht="14" thickTop="1" x14ac:dyDescent="0.15">
      <c r="B60" s="191">
        <f>' Total des coûts de MO'!B21</f>
        <v>6190</v>
      </c>
      <c r="C60" s="394" t="str">
        <f>' Total des coûts de MO'!C11</f>
        <v>Salaires</v>
      </c>
      <c r="D60" s="191"/>
      <c r="E60" s="406">
        <v>500</v>
      </c>
      <c r="F60" s="489">
        <f>E60/'État des Résultats'!E14</f>
        <v>1.3053075108699482E-2</v>
      </c>
      <c r="H60" s="406">
        <v>500</v>
      </c>
      <c r="I60" s="489">
        <f>H60/'État des Résultats'!H14</f>
        <v>1.6057354300384283E-2</v>
      </c>
      <c r="K60" s="406">
        <v>500</v>
      </c>
      <c r="L60" s="489">
        <f>K60/'État des Résultats'!K14</f>
        <v>1.3053075108699482E-2</v>
      </c>
      <c r="N60" s="406">
        <v>500</v>
      </c>
      <c r="O60" s="489">
        <f>N60/'État des Résultats'!N14</f>
        <v>1.226197964756618E-2</v>
      </c>
      <c r="Q60" s="406">
        <v>500</v>
      </c>
      <c r="R60" s="489">
        <f>Q60/'État des Résultats'!Q14</f>
        <v>1.0877562590582901E-2</v>
      </c>
      <c r="T60" s="406">
        <v>500</v>
      </c>
      <c r="U60" s="489">
        <f>T60/'État des Résultats'!T14</f>
        <v>8.9921184082151981E-3</v>
      </c>
      <c r="W60" s="406">
        <v>500</v>
      </c>
      <c r="X60" s="489">
        <f>W60/'État des Résultats'!W14</f>
        <v>6.5265375543497412E-3</v>
      </c>
      <c r="Z60" s="406">
        <v>500</v>
      </c>
      <c r="AA60" s="489">
        <f>Z60/'État des Résultats'!Z14</f>
        <v>7.2517083937219343E-3</v>
      </c>
      <c r="AC60" s="406">
        <v>500</v>
      </c>
      <c r="AD60" s="489">
        <f>AC60/'État des Résultats'!AC14</f>
        <v>1.1240148010268999E-2</v>
      </c>
      <c r="AF60" s="406">
        <v>500</v>
      </c>
      <c r="AG60" s="489">
        <f>AF60/'État des Résultats'!AF14</f>
        <v>1.186643191699953E-2</v>
      </c>
      <c r="AI60" s="406">
        <v>500</v>
      </c>
      <c r="AJ60" s="489">
        <f>AI60/'État des Résultats'!AI14</f>
        <v>1.3488177612322799E-2</v>
      </c>
      <c r="AK60" s="201"/>
      <c r="AL60" s="406">
        <v>500</v>
      </c>
      <c r="AM60" s="489">
        <f>AL60/'État des Résultats'!AL14</f>
        <v>1.0877562590582901E-2</v>
      </c>
      <c r="AP60" s="485">
        <f>SUM(+$AL60+$AI60+$AF60+$AC60+$Z60+$W60+$T60+$Q60+$N60+$K60+$H60+$E60)</f>
        <v>6000</v>
      </c>
      <c r="AQ60" s="484">
        <f>AP60/'État des Résultats'!AP14</f>
        <v>1.0613647957237612E-2</v>
      </c>
      <c r="AR60" s="210"/>
      <c r="AS60" s="210"/>
      <c r="AT60" s="210"/>
      <c r="AU60" s="210"/>
      <c r="AV60" s="210"/>
      <c r="AW60" s="210"/>
      <c r="AX60" s="210"/>
      <c r="AY60" s="210"/>
      <c r="AZ60" s="210"/>
      <c r="BA60" s="210"/>
    </row>
    <row r="61" spans="2:53" x14ac:dyDescent="0.15">
      <c r="B61" s="191">
        <f>B55</f>
        <v>6205</v>
      </c>
      <c r="C61" s="394" t="str">
        <f>' Total des coûts de MO'!C27</f>
        <v>Bénéfices gouvernementaux</v>
      </c>
      <c r="D61" s="191"/>
      <c r="E61" s="397">
        <f>+E60*$H$76</f>
        <v>60</v>
      </c>
      <c r="F61" s="425">
        <f>E61/'État des Résultats'!E14</f>
        <v>1.5663690130439379E-3</v>
      </c>
      <c r="H61" s="397">
        <f>+H60*$H$76</f>
        <v>60</v>
      </c>
      <c r="I61" s="425">
        <f>H61/'État des Résultats'!H14</f>
        <v>1.926882516046114E-3</v>
      </c>
      <c r="K61" s="397">
        <f>+K60*$H$76</f>
        <v>60</v>
      </c>
      <c r="L61" s="425">
        <f>K61/'État des Résultats'!K14</f>
        <v>1.5663690130439379E-3</v>
      </c>
      <c r="N61" s="397">
        <f>+N60*$H$76</f>
        <v>60</v>
      </c>
      <c r="O61" s="425">
        <f>N61/'État des Résultats'!N14</f>
        <v>1.4714375577079416E-3</v>
      </c>
      <c r="Q61" s="397">
        <f>+Q60*$H$76</f>
        <v>60</v>
      </c>
      <c r="R61" s="425">
        <f>Q61/'État des Résultats'!Q14</f>
        <v>1.305307510869948E-3</v>
      </c>
      <c r="T61" s="397">
        <f>+T60*$H$76</f>
        <v>60</v>
      </c>
      <c r="U61" s="425">
        <f>T61/'État des Résultats'!T14</f>
        <v>1.0790542089858237E-3</v>
      </c>
      <c r="W61" s="397">
        <f>+W60*$H$76</f>
        <v>60</v>
      </c>
      <c r="X61" s="425">
        <f>W61/'État des Résultats'!W14</f>
        <v>7.8318450652196893E-4</v>
      </c>
      <c r="Z61" s="397">
        <f>+Z60*$H$76</f>
        <v>60</v>
      </c>
      <c r="AA61" s="425">
        <f>Z61/'État des Résultats'!Z14</f>
        <v>8.7020500724663209E-4</v>
      </c>
      <c r="AC61" s="397">
        <f>+AC60*$H$76</f>
        <v>60</v>
      </c>
      <c r="AD61" s="425">
        <f>AC61/'État des Résultats'!AC14</f>
        <v>1.3488177612322799E-3</v>
      </c>
      <c r="AF61" s="397">
        <f>+AF60*$H$76</f>
        <v>60</v>
      </c>
      <c r="AG61" s="425">
        <f>AF61/'État des Résultats'!AF14</f>
        <v>1.4239718300399435E-3</v>
      </c>
      <c r="AI61" s="397">
        <f>+AI60*$H$76</f>
        <v>60</v>
      </c>
      <c r="AJ61" s="425">
        <f>AI61/'État des Résultats'!AI14</f>
        <v>1.6185813134787358E-3</v>
      </c>
      <c r="AK61" s="201"/>
      <c r="AL61" s="397">
        <f>+AL60*$H$76</f>
        <v>60</v>
      </c>
      <c r="AM61" s="425">
        <f>AL61/'État des Résultats'!AL14</f>
        <v>1.305307510869948E-3</v>
      </c>
      <c r="AP61" s="485">
        <f>SUM(+$AL61+$AI61+$AF61+$AC61+$Z61+$W61+$T61+$Q61+$N61+$K61+$H61+$E61)</f>
        <v>720</v>
      </c>
      <c r="AQ61" s="484">
        <f>AP61/'État des Résultats'!AP14</f>
        <v>1.2736377548685134E-3</v>
      </c>
      <c r="AR61" s="210"/>
      <c r="AS61" s="210"/>
      <c r="AT61" s="210"/>
      <c r="AU61" s="210"/>
      <c r="AV61" s="210"/>
      <c r="AW61" s="210"/>
      <c r="AX61" s="210"/>
      <c r="AY61" s="210"/>
      <c r="AZ61" s="210"/>
      <c r="BA61" s="210"/>
    </row>
    <row r="62" spans="2:53" ht="14" thickBot="1" x14ac:dyDescent="0.2">
      <c r="B62" s="191">
        <f>B56</f>
        <v>6245</v>
      </c>
      <c r="C62" s="394" t="str">
        <f>' Total des coûts de MO'!C31</f>
        <v>CSST et CNT</v>
      </c>
      <c r="D62" s="191"/>
      <c r="E62" s="397">
        <f>(E60/100)*$F$72</f>
        <v>12</v>
      </c>
      <c r="F62" s="426">
        <f>E62/'État des Résultats'!E14</f>
        <v>3.1327380260878757E-4</v>
      </c>
      <c r="H62" s="397">
        <f>(H60/100)*$F$72</f>
        <v>12</v>
      </c>
      <c r="I62" s="426">
        <f>H62/'État des Résultats'!H14</f>
        <v>3.8537650320922282E-4</v>
      </c>
      <c r="K62" s="397">
        <f>(K60/100)*$F$72</f>
        <v>12</v>
      </c>
      <c r="L62" s="426">
        <f>K62/'État des Résultats'!K14</f>
        <v>3.1327380260878757E-4</v>
      </c>
      <c r="N62" s="397">
        <f>(N60/100)*$F$72</f>
        <v>12</v>
      </c>
      <c r="O62" s="426">
        <f>N62/'État des Résultats'!N14</f>
        <v>2.9428751154158829E-4</v>
      </c>
      <c r="Q62" s="397">
        <f>(Q60/100)*$F$72</f>
        <v>12</v>
      </c>
      <c r="R62" s="426">
        <f>Q62/'État des Résultats'!Q14</f>
        <v>2.6106150217398961E-4</v>
      </c>
      <c r="T62" s="397">
        <f>(T60/100)*$F$72</f>
        <v>12</v>
      </c>
      <c r="U62" s="426">
        <f>T62/'État des Résultats'!T14</f>
        <v>2.1581084179716475E-4</v>
      </c>
      <c r="W62" s="397">
        <f>(W60/100)*$F$72</f>
        <v>12</v>
      </c>
      <c r="X62" s="426">
        <f>W62/'État des Résultats'!W14</f>
        <v>1.5663690130439379E-4</v>
      </c>
      <c r="Z62" s="397">
        <f>(Z60/100)*$F$72</f>
        <v>12</v>
      </c>
      <c r="AA62" s="426">
        <f>Z62/'État des Résultats'!Z14</f>
        <v>1.7404100144932644E-4</v>
      </c>
      <c r="AC62" s="397">
        <f>(AC60/100)*$F$72</f>
        <v>12</v>
      </c>
      <c r="AD62" s="426">
        <f>AC62/'État des Résultats'!AC14</f>
        <v>2.6976355224645599E-4</v>
      </c>
      <c r="AF62" s="397">
        <f>(AF60/100)*$F$72</f>
        <v>12</v>
      </c>
      <c r="AG62" s="426">
        <f>AF62/'État des Résultats'!AF14</f>
        <v>2.8479436600798873E-4</v>
      </c>
      <c r="AI62" s="397">
        <f>(AI60/100)*$F$72</f>
        <v>12</v>
      </c>
      <c r="AJ62" s="426">
        <f>AI62/'État des Résultats'!AI14</f>
        <v>3.237162626957472E-4</v>
      </c>
      <c r="AK62" s="201"/>
      <c r="AL62" s="397">
        <f>(AL60/100)*$F$72</f>
        <v>12</v>
      </c>
      <c r="AM62" s="426">
        <f>AL62/'État des Résultats'!AL14</f>
        <v>2.6106150217398961E-4</v>
      </c>
      <c r="AP62" s="486">
        <f>SUM(+$AL62+$AI62+$AF62+$AC62+$Z62+$W62+$T62+$Q62+$N62+$K62+$H62+$E62)</f>
        <v>144</v>
      </c>
      <c r="AQ62" s="484">
        <f>AP62/'État des Résultats'!AP14</f>
        <v>2.547275509737027E-4</v>
      </c>
      <c r="AR62" s="210"/>
      <c r="AS62" s="210"/>
      <c r="AT62" s="210"/>
      <c r="AU62" s="210"/>
      <c r="AV62" s="210"/>
      <c r="AW62" s="210"/>
      <c r="AX62" s="210"/>
      <c r="AY62" s="210"/>
      <c r="AZ62" s="210"/>
      <c r="BA62" s="210"/>
    </row>
    <row r="63" spans="2:53" ht="14" thickBot="1" x14ac:dyDescent="0.2">
      <c r="B63" s="399"/>
      <c r="C63" s="400" t="s">
        <v>228</v>
      </c>
      <c r="D63" s="401"/>
      <c r="E63" s="408">
        <f>SUM(E60:E62)</f>
        <v>572</v>
      </c>
      <c r="F63" s="409">
        <f>SUM(F60:F62)</f>
        <v>1.4932717924352207E-2</v>
      </c>
      <c r="G63" s="214"/>
      <c r="H63" s="408">
        <f>SUM(H60:H62)</f>
        <v>572</v>
      </c>
      <c r="I63" s="409">
        <f>SUM(I60:I62)</f>
        <v>1.836961331963962E-2</v>
      </c>
      <c r="J63" s="214"/>
      <c r="K63" s="408">
        <f>SUM(K60:K62)</f>
        <v>572</v>
      </c>
      <c r="L63" s="409">
        <f>SUM(L60:L62)</f>
        <v>1.4932717924352207E-2</v>
      </c>
      <c r="M63" s="214"/>
      <c r="N63" s="408">
        <f>SUM(N60:N62)</f>
        <v>572</v>
      </c>
      <c r="O63" s="409">
        <f>SUM(O60:O62)</f>
        <v>1.4027704716815709E-2</v>
      </c>
      <c r="P63" s="214"/>
      <c r="Q63" s="408">
        <f>SUM(Q60:Q62)</f>
        <v>572</v>
      </c>
      <c r="R63" s="409">
        <f>SUM(R60:R62)</f>
        <v>1.2443931603626838E-2</v>
      </c>
      <c r="S63" s="214"/>
      <c r="T63" s="408">
        <f>SUM(T60:T62)</f>
        <v>572</v>
      </c>
      <c r="U63" s="409">
        <f>SUM(U60:U62)</f>
        <v>1.0286983458998188E-2</v>
      </c>
      <c r="V63" s="214"/>
      <c r="W63" s="408">
        <f>SUM(W60:W62)</f>
        <v>572</v>
      </c>
      <c r="X63" s="409">
        <f>SUM(X60:X62)</f>
        <v>7.4663589621761037E-3</v>
      </c>
      <c r="Y63" s="214"/>
      <c r="Z63" s="408">
        <f>SUM(Z60:Z62)</f>
        <v>572</v>
      </c>
      <c r="AA63" s="409">
        <f>SUM(AA60:AA62)</f>
        <v>8.2959544024178936E-3</v>
      </c>
      <c r="AB63" s="214"/>
      <c r="AC63" s="408">
        <f>SUM(AC60:AC62)</f>
        <v>572</v>
      </c>
      <c r="AD63" s="409">
        <f>SUM(AD60:AD62)</f>
        <v>1.2858729323747736E-2</v>
      </c>
      <c r="AE63" s="214"/>
      <c r="AF63" s="408">
        <f>SUM(AF60:AF62)</f>
        <v>572</v>
      </c>
      <c r="AG63" s="409">
        <f>SUM(AG60:AG62)</f>
        <v>1.3575198113047464E-2</v>
      </c>
      <c r="AH63" s="214"/>
      <c r="AI63" s="408">
        <f>SUM(AI60:AI62)</f>
        <v>572</v>
      </c>
      <c r="AJ63" s="409">
        <f>SUM(AJ60:AJ62)</f>
        <v>1.5430475188497281E-2</v>
      </c>
      <c r="AK63" s="404"/>
      <c r="AL63" s="408">
        <f>SUM(AL60:AL62)</f>
        <v>572</v>
      </c>
      <c r="AM63" s="409">
        <f>SUM(AM60:AM62)</f>
        <v>1.2443931603626838E-2</v>
      </c>
      <c r="AN63" s="214"/>
      <c r="AO63" s="214"/>
      <c r="AP63" s="417">
        <f>SUM(+$AL63+$AI63+$AF63+$AC63+$Z63+$W63+$T63+$Q63+$N63+$K63+$H63+$E63)</f>
        <v>6864</v>
      </c>
      <c r="AQ63" s="427">
        <f>AP63/'État des Résultats'!AP14</f>
        <v>1.2142013263079829E-2</v>
      </c>
      <c r="AR63" s="210"/>
      <c r="AS63" s="210"/>
      <c r="AT63" s="210"/>
      <c r="AU63" s="210"/>
      <c r="AV63" s="210"/>
      <c r="AW63" s="210"/>
      <c r="AX63" s="210"/>
      <c r="AY63" s="210"/>
      <c r="AZ63" s="210"/>
      <c r="BA63" s="210"/>
    </row>
    <row r="64" spans="2:53" ht="14" thickBot="1" x14ac:dyDescent="0.2">
      <c r="B64" s="522"/>
      <c r="C64" s="522"/>
      <c r="D64" s="522"/>
      <c r="E64" s="523"/>
      <c r="F64" s="524"/>
      <c r="G64" s="522"/>
      <c r="H64" s="523"/>
      <c r="I64" s="524"/>
      <c r="J64" s="522"/>
      <c r="K64" s="523"/>
      <c r="L64" s="524"/>
      <c r="M64" s="522"/>
      <c r="N64" s="523"/>
      <c r="O64" s="524"/>
      <c r="P64" s="522"/>
      <c r="Q64" s="523"/>
      <c r="R64" s="524"/>
      <c r="S64" s="522"/>
      <c r="T64" s="523"/>
      <c r="U64" s="524"/>
      <c r="V64" s="522"/>
      <c r="W64" s="523"/>
      <c r="X64" s="524"/>
      <c r="Y64" s="522"/>
      <c r="Z64" s="523"/>
      <c r="AA64" s="524"/>
      <c r="AB64" s="522"/>
      <c r="AC64" s="523"/>
      <c r="AD64" s="524"/>
      <c r="AE64" s="522"/>
      <c r="AF64" s="523"/>
      <c r="AG64" s="524"/>
      <c r="AH64" s="522"/>
      <c r="AI64" s="523"/>
      <c r="AJ64" s="524"/>
      <c r="AK64" s="522"/>
      <c r="AL64" s="523"/>
      <c r="AM64" s="524"/>
      <c r="AN64" s="522"/>
      <c r="AO64" s="522"/>
      <c r="AP64" s="525"/>
      <c r="AQ64" s="527"/>
      <c r="AR64" s="210"/>
      <c r="AS64" s="210"/>
      <c r="AT64" s="210"/>
      <c r="AU64" s="210"/>
      <c r="AV64" s="210"/>
      <c r="AW64" s="210"/>
      <c r="AX64" s="210"/>
    </row>
    <row r="65" spans="2:47" ht="15" thickTop="1" thickBot="1" x14ac:dyDescent="0.2">
      <c r="B65" s="536"/>
      <c r="C65" s="537" t="str">
        <f>' Total des coûts de MO'!C23</f>
        <v>Total des salaires</v>
      </c>
      <c r="D65" s="191"/>
      <c r="E65" s="538"/>
      <c r="F65" s="539"/>
      <c r="H65" s="538"/>
      <c r="I65" s="539"/>
      <c r="K65" s="538"/>
      <c r="L65" s="539"/>
      <c r="N65" s="538"/>
      <c r="O65" s="539"/>
      <c r="Q65" s="538"/>
      <c r="R65" s="539"/>
      <c r="T65" s="538"/>
      <c r="U65" s="539"/>
      <c r="W65" s="538"/>
      <c r="X65" s="539"/>
      <c r="Z65" s="538"/>
      <c r="AA65" s="539"/>
      <c r="AC65" s="538"/>
      <c r="AD65" s="539"/>
      <c r="AF65" s="538"/>
      <c r="AG65" s="539"/>
      <c r="AI65" s="538"/>
      <c r="AJ65" s="539"/>
      <c r="AK65" s="201"/>
      <c r="AL65" s="538"/>
      <c r="AM65" s="539"/>
      <c r="AP65" s="540"/>
      <c r="AQ65" s="539"/>
    </row>
    <row r="66" spans="2:47" ht="14" thickTop="1" x14ac:dyDescent="0.15">
      <c r="B66" s="194">
        <f>' Total des coûts de MO'!B11</f>
        <v>6100</v>
      </c>
      <c r="C66" s="533" t="str">
        <f>' Total des coûts de MO'!C11</f>
        <v>Salaires</v>
      </c>
      <c r="D66" s="191"/>
      <c r="E66" s="534">
        <f>+E12+E18+E24+E30+E36+E42+E48+E54+E60</f>
        <v>10523</v>
      </c>
      <c r="F66" s="487">
        <f>E66/'État des Résultats'!E14</f>
        <v>0.27471501873768933</v>
      </c>
      <c r="H66" s="534">
        <f>+H12+H18+H24+H30+H36+H42+H48+H54+H60</f>
        <v>14924</v>
      </c>
      <c r="I66" s="487">
        <f>H66/'État des Résultats'!H14</f>
        <v>0.47927991115787011</v>
      </c>
      <c r="K66" s="534">
        <f>+K12+K18+K24+K30+K36+K42+K48+K54+K60</f>
        <v>10500</v>
      </c>
      <c r="L66" s="487">
        <f>K66/'État des Résultats'!K14</f>
        <v>0.27411457728268912</v>
      </c>
      <c r="N66" s="534">
        <f>+N12+N18+N24+N30+N36+N42+N48+N54+N60</f>
        <v>10500</v>
      </c>
      <c r="O66" s="487">
        <f>N66/'État des Résultats'!N14</f>
        <v>0.25750157259888978</v>
      </c>
      <c r="Q66" s="534">
        <f>+Q12+Q18+Q24+Q30+Q36+Q42+Q48+Q54+Q60</f>
        <v>10500</v>
      </c>
      <c r="R66" s="487">
        <f>Q66/'État des Résultats'!Q14</f>
        <v>0.22842881440224092</v>
      </c>
      <c r="T66" s="534">
        <f>+T12+T18+T24+T30+T36+T42+T48+T54+T60</f>
        <v>10500</v>
      </c>
      <c r="U66" s="487">
        <f>T66/'État des Résultats'!T14</f>
        <v>0.18883448657251917</v>
      </c>
      <c r="W66" s="534">
        <f>+W12+W18+W24+W30+W36+W42+W48+W54+W60</f>
        <v>10500</v>
      </c>
      <c r="X66" s="487">
        <f>W66/'État des Résultats'!W14</f>
        <v>0.13705728864134456</v>
      </c>
      <c r="Z66" s="534">
        <f>+Z12+Z18+Z24+Z30+Z36+Z42+Z48+Z54+Z60</f>
        <v>10500</v>
      </c>
      <c r="AA66" s="487">
        <f>Z66/'État des Résultats'!Z14</f>
        <v>0.15228587626816062</v>
      </c>
      <c r="AC66" s="534">
        <f>+AC12+AC18+AC24+AC30+AC36+AC42+AC48+AC54+AC60</f>
        <v>10500</v>
      </c>
      <c r="AD66" s="487">
        <f>AC66/'État des Résultats'!AC14</f>
        <v>0.23604310821564897</v>
      </c>
      <c r="AF66" s="534">
        <f>+AF12+AF18+AF24+AF30+AF36+AF42+AF48+AF54+AF60</f>
        <v>10500</v>
      </c>
      <c r="AG66" s="487">
        <f>AF66/'État des Résultats'!AF14</f>
        <v>0.24919507025699011</v>
      </c>
      <c r="AI66" s="534">
        <f>+AI12+AI18+AI24+AI30+AI36+AI42+AI48+AI54+AI60</f>
        <v>10500</v>
      </c>
      <c r="AJ66" s="487">
        <f>AI66/'État des Résultats'!AI14</f>
        <v>0.28325172985877878</v>
      </c>
      <c r="AK66" s="201"/>
      <c r="AL66" s="534">
        <f>+AL12+AL18+AL24+AL30+AL36+AL42+AL48+AL54+AL60</f>
        <v>10500</v>
      </c>
      <c r="AM66" s="487">
        <f>AL66/'État des Résultats'!AL14</f>
        <v>0.22842881440224092</v>
      </c>
      <c r="AP66" s="485">
        <f>SUM(+$AL66+$AI66+$AF66+$AC66+$Z66+$W66+$T66+$Q66+$N66+$K66+$H66+$E66)</f>
        <v>130447</v>
      </c>
      <c r="AQ66" s="487">
        <f>AP66/'État des Résultats'!AP14</f>
        <v>0.23075308917962914</v>
      </c>
    </row>
    <row r="67" spans="2:47" x14ac:dyDescent="0.15">
      <c r="B67" s="194">
        <f>B61</f>
        <v>6205</v>
      </c>
      <c r="C67" s="533" t="str">
        <f>' Total des coûts de MO'!C27</f>
        <v>Bénéfices gouvernementaux</v>
      </c>
      <c r="D67" s="191"/>
      <c r="E67" s="534">
        <f>+E13+E19+E25+E31+E37+E43+E49+E55+E61</f>
        <v>1262.76</v>
      </c>
      <c r="F67" s="535">
        <f>E67/'État des Résultats'!E14</f>
        <v>3.2965802248522719E-2</v>
      </c>
      <c r="H67" s="534">
        <f>+H13+H19+H25+H31+H37+H43+H49+H55+H61</f>
        <v>1790.88</v>
      </c>
      <c r="I67" s="535">
        <f>H67/'État des Résultats'!H14</f>
        <v>5.7513589338944418E-2</v>
      </c>
      <c r="K67" s="534">
        <f>+K13+K19+K25+K31+K37+K43+K49+K55+K61</f>
        <v>1260</v>
      </c>
      <c r="L67" s="535">
        <f>K67/'État des Résultats'!K14</f>
        <v>3.2893749273922697E-2</v>
      </c>
      <c r="N67" s="534">
        <f>+N13+N19+N25+N31+N37+N43+N49+N55+N61</f>
        <v>1260</v>
      </c>
      <c r="O67" s="535">
        <f>N67/'État des Résultats'!N14</f>
        <v>3.0900188711866772E-2</v>
      </c>
      <c r="Q67" s="534">
        <f>+Q13+Q19+Q25+Q31+Q37+Q43+Q49+Q55+Q61</f>
        <v>1260</v>
      </c>
      <c r="R67" s="535">
        <f>Q67/'État des Résultats'!Q14</f>
        <v>2.7411457728268911E-2</v>
      </c>
      <c r="T67" s="534">
        <f>+T13+T19+T25+T31+T37+T43+T49+T55+T61</f>
        <v>1260</v>
      </c>
      <c r="U67" s="535">
        <f>T67/'État des Résultats'!T14</f>
        <v>2.2660138388702299E-2</v>
      </c>
      <c r="W67" s="534">
        <f>+W13+W19+W25+W31+W37+W43+W49+W55+W61</f>
        <v>1260</v>
      </c>
      <c r="X67" s="535">
        <f>W67/'État des Résultats'!W14</f>
        <v>1.6446874636961348E-2</v>
      </c>
      <c r="Z67" s="534">
        <f>+Z13+Z19+Z25+Z31+Z37+Z43+Z49+Z55+Z61</f>
        <v>1260</v>
      </c>
      <c r="AA67" s="535">
        <f>Z67/'État des Résultats'!Z14</f>
        <v>1.8274305152179274E-2</v>
      </c>
      <c r="AC67" s="534">
        <f>+AC13+AC19+AC25+AC31+AC37+AC43+AC49+AC55+AC61</f>
        <v>1260</v>
      </c>
      <c r="AD67" s="535">
        <f>AC67/'État des Résultats'!AC14</f>
        <v>2.8325172985877878E-2</v>
      </c>
      <c r="AF67" s="534">
        <f>+AF13+AF19+AF25+AF31+AF37+AF43+AF49+AF55+AF61</f>
        <v>1260</v>
      </c>
      <c r="AG67" s="535">
        <f>AF67/'État des Résultats'!AF14</f>
        <v>2.9903408430838815E-2</v>
      </c>
      <c r="AI67" s="534">
        <f>+AI13+AI19+AI25+AI31+AI37+AI43+AI49+AI55+AI61</f>
        <v>1260</v>
      </c>
      <c r="AJ67" s="535">
        <f>AI67/'État des Résultats'!AI14</f>
        <v>3.3990207583053454E-2</v>
      </c>
      <c r="AK67" s="201"/>
      <c r="AL67" s="534">
        <f>+AL13+AL19+AL25+AL31+AL37+AL43+AL49+AL55+AL61</f>
        <v>1260</v>
      </c>
      <c r="AM67" s="535">
        <f>AL67/'État des Résultats'!AL14</f>
        <v>2.7411457728268911E-2</v>
      </c>
      <c r="AP67" s="485">
        <f>SUM(+$AL67+$AI67+$AF67+$AC67+$Z67+$W67+$T67+$Q67+$N67+$K67+$H67+$E67)</f>
        <v>15653.640000000001</v>
      </c>
      <c r="AQ67" s="487">
        <f>AP67/'État des Résultats'!AP14</f>
        <v>2.76903707015555E-2</v>
      </c>
    </row>
    <row r="68" spans="2:47" ht="14" thickBot="1" x14ac:dyDescent="0.2">
      <c r="B68" s="194">
        <f>B62</f>
        <v>6245</v>
      </c>
      <c r="C68" s="533" t="str">
        <f>' Total des coûts de MO'!C31</f>
        <v>CSST et CNT</v>
      </c>
      <c r="D68" s="191"/>
      <c r="E68" s="534">
        <f>+E14+E20+E26+E32+E38+E44+E50+E56+E62</f>
        <v>252.55199999999999</v>
      </c>
      <c r="F68" s="535">
        <f>E68/'État des Résultats'!E14</f>
        <v>6.5931604497045434E-3</v>
      </c>
      <c r="H68" s="534">
        <f>+H14+H20+H26+H32+H38+H44+H50+H56+H62</f>
        <v>358.17599999999999</v>
      </c>
      <c r="I68" s="535">
        <f>H68/'État des Résultats'!H14</f>
        <v>1.1502717867788882E-2</v>
      </c>
      <c r="K68" s="534">
        <f>+K14+K20+K26+K32+K38+K44+K50+K56+K62</f>
        <v>252</v>
      </c>
      <c r="L68" s="535">
        <f>K68/'État des Résultats'!K14</f>
        <v>6.5787498547845392E-3</v>
      </c>
      <c r="N68" s="534">
        <f>+N14+N20+N26+N32+N38+N44+N50+N56+N62</f>
        <v>252</v>
      </c>
      <c r="O68" s="535">
        <f>N68/'État des Résultats'!N14</f>
        <v>6.1800377423733548E-3</v>
      </c>
      <c r="Q68" s="534">
        <f>+Q14+Q20+Q26+Q32+Q38+Q44+Q50+Q56+Q62</f>
        <v>252</v>
      </c>
      <c r="R68" s="535">
        <f>Q68/'État des Résultats'!Q14</f>
        <v>5.482291545653782E-3</v>
      </c>
      <c r="T68" s="534">
        <f>+T14+T20+T26+T32+T38+T44+T50+T56+T62</f>
        <v>252</v>
      </c>
      <c r="U68" s="535">
        <f>T68/'État des Résultats'!T14</f>
        <v>4.5320276777404602E-3</v>
      </c>
      <c r="W68" s="534">
        <f>+W14+W20+W26+W32+W38+W44+W50+W56+W62</f>
        <v>252</v>
      </c>
      <c r="X68" s="535">
        <f>W68/'État des Résultats'!W14</f>
        <v>3.2893749273922696E-3</v>
      </c>
      <c r="Z68" s="534">
        <f>+Z14+Z20+Z26+Z32+Z38+Z44+Z50+Z56+Z62</f>
        <v>252</v>
      </c>
      <c r="AA68" s="535">
        <f>Z68/'État des Résultats'!Z14</f>
        <v>3.6548610304358549E-3</v>
      </c>
      <c r="AC68" s="534">
        <f>+AC14+AC20+AC26+AC32+AC38+AC44+AC50+AC56+AC62</f>
        <v>252</v>
      </c>
      <c r="AD68" s="535">
        <f>AC68/'État des Résultats'!AC14</f>
        <v>5.6650345971755757E-3</v>
      </c>
      <c r="AF68" s="534">
        <f>+AF14+AF20+AF26+AF32+AF38+AF44+AF50+AF56+AF62</f>
        <v>252</v>
      </c>
      <c r="AG68" s="535">
        <f>AF68/'État des Résultats'!AF14</f>
        <v>5.9806816861677631E-3</v>
      </c>
      <c r="AI68" s="534">
        <f>+AI14+AI20+AI26+AI32+AI38+AI44+AI50+AI56+AI62</f>
        <v>252</v>
      </c>
      <c r="AJ68" s="535">
        <f>AI68/'État des Résultats'!AI14</f>
        <v>6.7980415166106903E-3</v>
      </c>
      <c r="AK68" s="201"/>
      <c r="AL68" s="534">
        <f>+AL14+AL20+AL26+AL32+AL38+AL44+AL50+AL56+AL62</f>
        <v>252</v>
      </c>
      <c r="AM68" s="535">
        <f>AL68/'État des Résultats'!AL14</f>
        <v>5.482291545653782E-3</v>
      </c>
      <c r="AP68" s="485">
        <f>SUM(+$AL68+$AI68+$AF68+$AC68+$Z68+$W68+$T68+$Q68+$N68+$K68+$H68+$E68)</f>
        <v>3130.7280000000001</v>
      </c>
      <c r="AQ68" s="487">
        <f>AP68/'État des Résultats'!AP14</f>
        <v>5.5380741403110991E-3</v>
      </c>
    </row>
    <row r="69" spans="2:47" ht="15" thickTop="1" thickBot="1" x14ac:dyDescent="0.2">
      <c r="B69" s="528"/>
      <c r="C69" s="529" t="s">
        <v>234</v>
      </c>
      <c r="D69" s="232"/>
      <c r="E69" s="530">
        <f>SUM(E66:E68)</f>
        <v>12038.312</v>
      </c>
      <c r="F69" s="531">
        <f>+SUM(F66:F68)</f>
        <v>0.31427398143591662</v>
      </c>
      <c r="G69" s="252"/>
      <c r="H69" s="530">
        <f>SUM(H66:H68)</f>
        <v>17073.056</v>
      </c>
      <c r="I69" s="531">
        <f>+SUM(I66:I68)</f>
        <v>0.5482962183646034</v>
      </c>
      <c r="J69" s="252"/>
      <c r="K69" s="530">
        <f>SUM(K66:K68)</f>
        <v>12012</v>
      </c>
      <c r="L69" s="531">
        <f>+SUM(L66:L68)</f>
        <v>0.31358707641139633</v>
      </c>
      <c r="M69" s="252"/>
      <c r="N69" s="530">
        <f>SUM(N66:N68)</f>
        <v>12012</v>
      </c>
      <c r="O69" s="531">
        <f>+SUM(O66:O68)</f>
        <v>0.29458179905312992</v>
      </c>
      <c r="P69" s="252"/>
      <c r="Q69" s="530">
        <f>SUM(Q66:Q68)</f>
        <v>12012</v>
      </c>
      <c r="R69" s="531">
        <f>+SUM(R66:R68)</f>
        <v>0.26132256367616358</v>
      </c>
      <c r="S69" s="252"/>
      <c r="T69" s="530">
        <f>SUM(T66:T68)</f>
        <v>12012</v>
      </c>
      <c r="U69" s="531">
        <f>+SUM(U66:U68)</f>
        <v>0.21602665263896192</v>
      </c>
      <c r="V69" s="252"/>
      <c r="W69" s="530">
        <f>SUM(W66:W68)</f>
        <v>12012</v>
      </c>
      <c r="X69" s="531">
        <f>+SUM(X66:X68)</f>
        <v>0.15679353820569816</v>
      </c>
      <c r="Y69" s="252"/>
      <c r="Z69" s="530">
        <f>SUM(Z66:Z68)</f>
        <v>12012</v>
      </c>
      <c r="AA69" s="531">
        <f>+SUM(AA66:AA68)</f>
        <v>0.17421504245077576</v>
      </c>
      <c r="AB69" s="252"/>
      <c r="AC69" s="530">
        <f>SUM(AC66:AC68)</f>
        <v>12012</v>
      </c>
      <c r="AD69" s="531">
        <f>+SUM(AD66:AD68)</f>
        <v>0.27003331579870243</v>
      </c>
      <c r="AE69" s="252"/>
      <c r="AF69" s="530">
        <f>SUM(AF66:AF68)</f>
        <v>12012</v>
      </c>
      <c r="AG69" s="531">
        <f>+SUM(AG66:AG68)</f>
        <v>0.28507916037399672</v>
      </c>
      <c r="AH69" s="252"/>
      <c r="AI69" s="530">
        <f>SUM(AI66:AI68)</f>
        <v>12012</v>
      </c>
      <c r="AJ69" s="531">
        <f>+SUM(AJ66:AJ68)</f>
        <v>0.32403997895844289</v>
      </c>
      <c r="AK69" s="232"/>
      <c r="AL69" s="530">
        <f>SUM(AL66:AL68)</f>
        <v>12012</v>
      </c>
      <c r="AM69" s="531">
        <f>+SUM(AM66:AM68)</f>
        <v>0.26132256367616358</v>
      </c>
      <c r="AN69" s="252"/>
      <c r="AO69" s="252"/>
      <c r="AP69" s="532">
        <f>+SUM(AP66:AP68)</f>
        <v>149231.36800000002</v>
      </c>
      <c r="AQ69" s="531">
        <f>AP69/'État des Résultats'!AP14</f>
        <v>0.26398153402149577</v>
      </c>
      <c r="AR69" s="252"/>
      <c r="AS69" s="252"/>
      <c r="AT69" s="252"/>
      <c r="AU69" s="252"/>
    </row>
    <row r="70" spans="2:47" ht="15" thickTop="1" thickBot="1" x14ac:dyDescent="0.2"/>
    <row r="71" spans="2:47" ht="15" thickTop="1" thickBot="1" x14ac:dyDescent="0.2">
      <c r="C71" s="667"/>
      <c r="D71" s="668"/>
      <c r="E71" s="668"/>
      <c r="F71" s="668"/>
      <c r="G71" s="668"/>
      <c r="H71" s="668"/>
      <c r="I71" s="669"/>
      <c r="K71" s="316" t="s">
        <v>2</v>
      </c>
    </row>
    <row r="72" spans="2:47" ht="15" thickTop="1" thickBot="1" x14ac:dyDescent="0.2">
      <c r="C72" s="928" t="s">
        <v>214</v>
      </c>
      <c r="D72" s="929"/>
      <c r="E72" s="929"/>
      <c r="F72" s="433">
        <v>2.4</v>
      </c>
      <c r="G72" s="670"/>
      <c r="H72" s="670"/>
      <c r="I72" s="533"/>
    </row>
    <row r="73" spans="2:47" ht="14" thickTop="1" x14ac:dyDescent="0.15">
      <c r="C73" s="194"/>
      <c r="D73" s="670"/>
      <c r="E73" s="670"/>
      <c r="F73" s="670"/>
      <c r="G73" s="670"/>
      <c r="H73" s="670"/>
      <c r="I73" s="533"/>
    </row>
    <row r="74" spans="2:47" ht="14" thickBot="1" x14ac:dyDescent="0.2">
      <c r="C74" s="194"/>
      <c r="D74" s="670"/>
      <c r="E74" s="670"/>
      <c r="F74" s="670"/>
      <c r="G74" s="670"/>
      <c r="H74" s="670"/>
      <c r="I74" s="533"/>
    </row>
    <row r="75" spans="2:47" ht="14" customHeight="1" thickTop="1" thickBot="1" x14ac:dyDescent="0.2">
      <c r="C75" s="928" t="s">
        <v>246</v>
      </c>
      <c r="D75" s="929"/>
      <c r="E75" s="929"/>
      <c r="F75" s="929"/>
      <c r="G75" s="671"/>
      <c r="H75" s="434">
        <v>0.14000000000000001</v>
      </c>
      <c r="I75" s="533"/>
    </row>
    <row r="76" spans="2:47" ht="15" thickTop="1" thickBot="1" x14ac:dyDescent="0.2">
      <c r="C76" s="928" t="s">
        <v>247</v>
      </c>
      <c r="D76" s="929"/>
      <c r="E76" s="929"/>
      <c r="F76" s="929"/>
      <c r="G76" s="670"/>
      <c r="H76" s="434">
        <v>0.12</v>
      </c>
      <c r="I76" s="533"/>
    </row>
    <row r="77" spans="2:47" ht="14" thickTop="1" x14ac:dyDescent="0.15">
      <c r="C77" s="194"/>
      <c r="D77" s="670"/>
      <c r="E77" s="670"/>
      <c r="F77" s="670"/>
      <c r="G77" s="670"/>
      <c r="H77" s="670"/>
      <c r="I77" s="533"/>
    </row>
    <row r="78" spans="2:47" ht="14" thickBot="1" x14ac:dyDescent="0.2">
      <c r="C78" s="672"/>
      <c r="D78" s="673"/>
      <c r="E78" s="673"/>
      <c r="F78" s="673"/>
      <c r="G78" s="673"/>
      <c r="H78" s="673"/>
      <c r="I78" s="674"/>
    </row>
    <row r="79" spans="2:47" ht="14" thickTop="1" x14ac:dyDescent="0.15"/>
  </sheetData>
  <sheetProtection algorithmName="SHA-512" hashValue="vbgp6veaEPNAhyh4aSIwEfL7thN8c8Qxf35xN2KjPRippLpGDFNYrsASjwbWXmSBpZw0EeeET47TcjK3raR2Mw==" saltValue="DrG0u8N0P87HD8Q9pkY26w==" spinCount="100000" sheet="1" objects="1" scenarios="1"/>
  <mergeCells count="12">
    <mergeCell ref="C76:F76"/>
    <mergeCell ref="B2:C2"/>
    <mergeCell ref="B3:C3"/>
    <mergeCell ref="B4:C4"/>
    <mergeCell ref="B6:C6"/>
    <mergeCell ref="B7:C7"/>
    <mergeCell ref="B8:C8"/>
    <mergeCell ref="AS2:AS8"/>
    <mergeCell ref="BC2:BC8"/>
    <mergeCell ref="B9:C9"/>
    <mergeCell ref="C72:E72"/>
    <mergeCell ref="C75:F75"/>
  </mergeCells>
  <pageMargins left="0.75000000000000011" right="0.75000000000000011" top="1" bottom="1" header="0.49" footer="0.49"/>
  <pageSetup paperSize="5" scale="44" fitToHeight="2" orientation="landscape"/>
  <headerFooter>
    <oddFooter>&amp;C&amp;K000000Budget et indicateurs de performance (430-763-Me)</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94FA-9626-6241-8E28-B2B615AB0796}">
  <sheetPr>
    <tabColor theme="1"/>
    <pageSetUpPr fitToPage="1"/>
  </sheetPr>
  <dimension ref="B1:BQ45"/>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46.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0" t="str">
        <f>'État des Résultats'!C2</f>
        <v xml:space="preserve">Entreprise de restauration alimentaire 12 inc. </v>
      </c>
      <c r="C2" s="941"/>
      <c r="AS2" s="898" t="s">
        <v>42</v>
      </c>
      <c r="AT2" s="369"/>
      <c r="AU2" s="369"/>
      <c r="AV2" s="369"/>
      <c r="AW2" s="369"/>
      <c r="AX2" s="369"/>
      <c r="AY2" s="369"/>
      <c r="AZ2" s="369"/>
      <c r="BA2" s="369"/>
      <c r="BB2" s="369"/>
      <c r="BC2" s="901" t="s">
        <v>43</v>
      </c>
    </row>
    <row r="3" spans="2:56" ht="20" customHeight="1" x14ac:dyDescent="0.2">
      <c r="B3" s="942" t="str">
        <f>'État des Résultats'!C3</f>
        <v xml:space="preserve">États des résultats prévisionnels </v>
      </c>
      <c r="C3" s="943"/>
      <c r="AS3" s="899"/>
      <c r="AT3" s="370"/>
      <c r="AU3" s="370"/>
      <c r="AV3" s="370"/>
      <c r="AW3" s="370"/>
      <c r="AX3" s="370"/>
      <c r="AY3" s="370"/>
      <c r="AZ3" s="370"/>
      <c r="BA3" s="370"/>
      <c r="BB3" s="370"/>
      <c r="BC3" s="902"/>
    </row>
    <row r="4" spans="2:56" ht="20" customHeight="1" thickBot="1" x14ac:dyDescent="0.3">
      <c r="B4" s="944" t="str">
        <f>'État des Résultats'!C4</f>
        <v>Pour la période du 1er janvier 2021 au 31 décembre 2021</v>
      </c>
      <c r="C4" s="945"/>
      <c r="AS4" s="899"/>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2"/>
    </row>
    <row r="5" spans="2:56" ht="21" thickTop="1" thickBot="1" x14ac:dyDescent="0.3">
      <c r="AS5" s="899"/>
      <c r="AT5" s="372" t="s">
        <v>2</v>
      </c>
      <c r="AU5" s="373"/>
      <c r="AV5" s="372"/>
      <c r="AW5" s="373"/>
      <c r="AX5" s="373"/>
      <c r="AY5" s="373"/>
      <c r="AZ5" s="373"/>
      <c r="BA5" s="373"/>
      <c r="BB5" s="373"/>
      <c r="BC5" s="902"/>
    </row>
    <row r="6" spans="2:56" ht="27" thickTop="1" x14ac:dyDescent="0.3">
      <c r="B6" s="916" t="str">
        <f>'État des Résultats'!C6</f>
        <v>Nb de places</v>
      </c>
      <c r="C6" s="946"/>
      <c r="E6" s="693" t="str">
        <f>'Coût marchandises vendues'!D6</f>
        <v>Coût / place / jour</v>
      </c>
      <c r="F6" s="694">
        <f>+E26/$B$7/'Calendrier 2021'!D8</f>
        <v>1.2356500000000001</v>
      </c>
      <c r="G6" s="170"/>
      <c r="H6" s="693" t="str">
        <f>+E6</f>
        <v>Coût / place / jour</v>
      </c>
      <c r="I6" s="694">
        <f>+H26/$B$7/'Calendrier 2021'!E8</f>
        <v>1.112085</v>
      </c>
      <c r="J6" s="170"/>
      <c r="K6" s="693" t="str">
        <f>+H6</f>
        <v>Coût / place / jour</v>
      </c>
      <c r="L6" s="694">
        <f>+K26/$B$7/'Calendrier 2021'!F8</f>
        <v>1.2356500000000001</v>
      </c>
      <c r="M6" s="170"/>
      <c r="N6" s="693" t="str">
        <f>+K6</f>
        <v>Coût / place / jour</v>
      </c>
      <c r="O6" s="694">
        <f>+N26/$B$7/'Calendrier 2021'!G8</f>
        <v>1.3592150000000001</v>
      </c>
      <c r="P6" s="436"/>
      <c r="Q6" s="693" t="str">
        <f>+N6</f>
        <v>Coût / place / jour</v>
      </c>
      <c r="R6" s="694">
        <f>+Q26/$B$7/'Calendrier 2021'!H8</f>
        <v>1.4827800000000004</v>
      </c>
      <c r="S6" s="436"/>
      <c r="T6" s="693" t="str">
        <f>+Q6</f>
        <v>Coût / place / jour</v>
      </c>
      <c r="U6" s="694">
        <f>+T26/$B$7/'Calendrier 2021'!I8</f>
        <v>1.8534750000000002</v>
      </c>
      <c r="V6" s="170"/>
      <c r="W6" s="693" t="str">
        <f>+T6</f>
        <v>Coût / place / jour</v>
      </c>
      <c r="X6" s="694">
        <f>+W26/$B$7/'Calendrier 2021'!J8</f>
        <v>2.4713000000000003</v>
      </c>
      <c r="Y6" s="170"/>
      <c r="Z6" s="693" t="str">
        <f>+W6</f>
        <v>Coût / place / jour</v>
      </c>
      <c r="AA6" s="694">
        <f>+Z26/$B$7/'Calendrier 2021'!K8</f>
        <v>2.2241700000000004</v>
      </c>
      <c r="AB6" s="170"/>
      <c r="AC6" s="693" t="str">
        <f>+Z6</f>
        <v>Coût / place / jour</v>
      </c>
      <c r="AD6" s="694">
        <f>+AC26/$B$7/'Calendrier 2021'!L8</f>
        <v>1.4827800000000002</v>
      </c>
      <c r="AE6" s="170"/>
      <c r="AF6" s="693" t="str">
        <f>+AC6</f>
        <v>Coût / place / jour</v>
      </c>
      <c r="AG6" s="694">
        <f>+AF26/$B$7/'Calendrier 2021'!M8</f>
        <v>1.3592149999999998</v>
      </c>
      <c r="AH6" s="170"/>
      <c r="AI6" s="693" t="str">
        <f>+AF6</f>
        <v>Coût / place / jour</v>
      </c>
      <c r="AJ6" s="694">
        <f>+AI26/$B$7/'Calendrier 2021'!N8</f>
        <v>1.2356500000000001</v>
      </c>
      <c r="AK6" s="170"/>
      <c r="AL6" s="693" t="str">
        <f>+AI6</f>
        <v>Coût / place / jour</v>
      </c>
      <c r="AM6" s="694">
        <f>+AL26/$B$7/'Calendrier 2021'!O8</f>
        <v>1.4827800000000004</v>
      </c>
      <c r="AN6" s="170"/>
      <c r="AO6" s="170"/>
      <c r="AP6" s="731" t="str">
        <f>+AL6</f>
        <v>Coût / place / jour</v>
      </c>
      <c r="AQ6" s="732">
        <f>+AP26/$B$7/'% Occupation'!P9</f>
        <v>1.5487941780821919</v>
      </c>
      <c r="AS6" s="899"/>
      <c r="AT6" s="683" t="str">
        <f>'Formule pour le calcul D'!BA105</f>
        <v xml:space="preserve">C </v>
      </c>
      <c r="AU6" s="375"/>
      <c r="AV6" s="374" t="str">
        <f>'Formule pour le calcul D'!BC105</f>
        <v>A</v>
      </c>
      <c r="AW6" s="375"/>
      <c r="AX6" s="375"/>
      <c r="AY6" s="374" t="str">
        <f>AY4</f>
        <v>Um/A</v>
      </c>
      <c r="AZ6" s="375"/>
      <c r="BA6" s="374" t="str">
        <f>BA4</f>
        <v>CmO</v>
      </c>
      <c r="BB6" s="375"/>
      <c r="BC6" s="902"/>
    </row>
    <row r="7" spans="2:56" ht="21" x14ac:dyDescent="0.25">
      <c r="B7" s="920">
        <f>'État des Résultats'!C7</f>
        <v>50</v>
      </c>
      <c r="C7" s="947"/>
      <c r="E7" s="438">
        <f>+E26/$AP26</f>
        <v>6.7759562841530063E-2</v>
      </c>
      <c r="F7" s="697"/>
      <c r="H7" s="438">
        <f>+H26/$AP26</f>
        <v>5.5081967213114758E-2</v>
      </c>
      <c r="I7" s="697"/>
      <c r="K7" s="438">
        <f>+K26/$AP26</f>
        <v>6.7759562841530063E-2</v>
      </c>
      <c r="L7" s="439"/>
      <c r="N7" s="438">
        <f>+N26/$AP26</f>
        <v>7.2131147540983612E-2</v>
      </c>
      <c r="O7" s="439"/>
      <c r="P7" s="698"/>
      <c r="Q7" s="438">
        <f>+Q26/$AP26</f>
        <v>8.131147540983609E-2</v>
      </c>
      <c r="R7" s="439"/>
      <c r="S7" s="698"/>
      <c r="T7" s="438">
        <f>+T26/$AP26</f>
        <v>9.836065573770493E-2</v>
      </c>
      <c r="U7" s="439"/>
      <c r="W7" s="438">
        <f>+W26/$AP26</f>
        <v>0.13551912568306013</v>
      </c>
      <c r="X7" s="439"/>
      <c r="Z7" s="438">
        <f>+Z26/$AP26</f>
        <v>0.1219672131147541</v>
      </c>
      <c r="AA7" s="439"/>
      <c r="AC7" s="438">
        <f>+AC26/$AP26</f>
        <v>7.8688524590163927E-2</v>
      </c>
      <c r="AD7" s="439"/>
      <c r="AF7" s="438">
        <f>+AF26/$AP26</f>
        <v>7.4535519125683056E-2</v>
      </c>
      <c r="AG7" s="439"/>
      <c r="AI7" s="438">
        <f>+AI26/$AP26</f>
        <v>6.5573770491803282E-2</v>
      </c>
      <c r="AJ7" s="439"/>
      <c r="AL7" s="438">
        <f>+AL26/$AP26</f>
        <v>8.131147540983609E-2</v>
      </c>
      <c r="AM7" s="439"/>
      <c r="AP7" s="733">
        <f>+AP26/$AP26</f>
        <v>1</v>
      </c>
      <c r="AQ7" s="734" t="s">
        <v>137</v>
      </c>
      <c r="AS7" s="899"/>
      <c r="AT7" s="684">
        <f>AP26</f>
        <v>28265.493750000001</v>
      </c>
      <c r="AU7" s="371" t="s">
        <v>44</v>
      </c>
      <c r="AV7" s="685">
        <f>'Formule pour le calcul D'!G114</f>
        <v>22875</v>
      </c>
      <c r="AW7" s="371" t="s">
        <v>45</v>
      </c>
      <c r="AX7" s="371" t="s">
        <v>46</v>
      </c>
      <c r="AY7" s="686">
        <f>'Formule pour le calcul D'!J106</f>
        <v>2.2200000000000002</v>
      </c>
      <c r="AZ7" s="371" t="s">
        <v>45</v>
      </c>
      <c r="BA7" s="687">
        <f>AT7/AV7/AY7</f>
        <v>0.5565990990990991</v>
      </c>
      <c r="BB7" s="371" t="s">
        <v>49</v>
      </c>
      <c r="BC7" s="902"/>
    </row>
    <row r="8" spans="2:56" ht="17" thickBot="1" x14ac:dyDescent="0.25">
      <c r="B8" s="920" t="s">
        <v>262</v>
      </c>
      <c r="C8" s="947"/>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35" t="str">
        <f>'État des Résultats'!AS8</f>
        <v>Total</v>
      </c>
      <c r="AQ8" s="736" t="str">
        <f>AM8</f>
        <v>(%)</v>
      </c>
      <c r="AS8" s="900"/>
      <c r="AT8" s="376"/>
      <c r="AU8" s="376"/>
      <c r="AV8" s="376"/>
      <c r="AW8" s="376"/>
      <c r="AX8" s="376"/>
      <c r="AY8" s="376"/>
      <c r="AZ8" s="376"/>
      <c r="BA8" s="376"/>
      <c r="BB8" s="376"/>
      <c r="BC8" s="903"/>
    </row>
    <row r="9" spans="2:56" ht="15" thickTop="1" thickBot="1" x14ac:dyDescent="0.2">
      <c r="B9" s="904">
        <f>E26/B7</f>
        <v>38.305150000000005</v>
      </c>
      <c r="C9" s="939"/>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37" t="str">
        <f>'État des Résultats'!AP9</f>
        <v>Année</v>
      </c>
      <c r="AQ9" s="738"/>
      <c r="AR9" s="730"/>
      <c r="AS9" s="730"/>
      <c r="AT9" s="331"/>
      <c r="AU9" s="331"/>
      <c r="AV9" s="331"/>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20" customHeight="1" thickTop="1" x14ac:dyDescent="0.2">
      <c r="B11" s="706"/>
      <c r="C11" s="751" t="s">
        <v>248</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09">
        <v>7305</v>
      </c>
      <c r="C13" s="394" t="s">
        <v>249</v>
      </c>
      <c r="E13" s="710">
        <v>0</v>
      </c>
      <c r="F13" s="711">
        <f>E13/'État des Résultats'!E14</f>
        <v>0</v>
      </c>
      <c r="H13" s="710">
        <v>0</v>
      </c>
      <c r="I13" s="711">
        <f>H13/'État des Résultats'!H14</f>
        <v>0</v>
      </c>
      <c r="K13" s="710">
        <v>0</v>
      </c>
      <c r="L13" s="711">
        <f>K13/'État des Résultats'!K14</f>
        <v>0</v>
      </c>
      <c r="N13" s="710">
        <v>0</v>
      </c>
      <c r="O13" s="711">
        <f>N13/'État des Résultats'!N14</f>
        <v>0</v>
      </c>
      <c r="Q13" s="710">
        <v>0</v>
      </c>
      <c r="R13" s="711">
        <f>Q13/'État des Résultats'!Q14</f>
        <v>0</v>
      </c>
      <c r="T13" s="710">
        <v>0</v>
      </c>
      <c r="U13" s="711">
        <f>T13/'État des Résultats'!T14</f>
        <v>0</v>
      </c>
      <c r="W13" s="710">
        <v>0</v>
      </c>
      <c r="X13" s="711">
        <f>W13/'État des Résultats'!W14</f>
        <v>0</v>
      </c>
      <c r="Z13" s="710">
        <v>0</v>
      </c>
      <c r="AA13" s="711">
        <f>Z13/'État des Résultats'!Z14</f>
        <v>0</v>
      </c>
      <c r="AC13" s="710">
        <v>0</v>
      </c>
      <c r="AD13" s="711">
        <f>AC13/'État des Résultats'!AC14</f>
        <v>0</v>
      </c>
      <c r="AF13" s="710">
        <v>0</v>
      </c>
      <c r="AG13" s="711">
        <f>AF13/'État des Résultats'!AF14</f>
        <v>0</v>
      </c>
      <c r="AI13" s="710">
        <v>0</v>
      </c>
      <c r="AJ13" s="711">
        <f>AI13/'État des Résultats'!AI14</f>
        <v>0</v>
      </c>
      <c r="AL13" s="710">
        <v>0</v>
      </c>
      <c r="AM13" s="711">
        <f>AL13/'État des Résultats'!AL14</f>
        <v>0</v>
      </c>
      <c r="AP13" s="712">
        <f>SUM(+$AL13+$AI13+$AF13+$AC13+$Z13+$W13+$T13+$Q13+$N13+$K13+$H13+$E13)</f>
        <v>0</v>
      </c>
      <c r="AQ13" s="713">
        <f>AP13/'État des Résultats'!$AP$14</f>
        <v>0</v>
      </c>
    </row>
    <row r="14" spans="2:56" x14ac:dyDescent="0.15">
      <c r="B14" s="709">
        <v>7310</v>
      </c>
      <c r="C14" s="394" t="s">
        <v>250</v>
      </c>
      <c r="E14" s="710">
        <f>0.05*'État des Résultats'!E14</f>
        <v>1915.2575000000002</v>
      </c>
      <c r="F14" s="715">
        <f>E14/'État des Résultats'!E14</f>
        <v>0.05</v>
      </c>
      <c r="H14" s="710">
        <f>0.05*'État des Résultats'!H14</f>
        <v>1556.9190000000001</v>
      </c>
      <c r="I14" s="715">
        <f>H14/'État des Résultats'!H14</f>
        <v>0.05</v>
      </c>
      <c r="K14" s="710">
        <f>0.05*'État des Résultats'!K14</f>
        <v>1915.2575000000002</v>
      </c>
      <c r="L14" s="715">
        <f>K14/'État des Résultats'!K14</f>
        <v>0.05</v>
      </c>
      <c r="N14" s="710">
        <f>0.05*'État des Résultats'!N14</f>
        <v>2038.8225000000002</v>
      </c>
      <c r="O14" s="715">
        <f>N14/'État des Résultats'!N14</f>
        <v>0.05</v>
      </c>
      <c r="Q14" s="710">
        <f>0.05*'État des Résultats'!Q14</f>
        <v>2298.3090000000007</v>
      </c>
      <c r="R14" s="715">
        <f>Q14/'État des Résultats'!Q14</f>
        <v>0.05</v>
      </c>
      <c r="T14" s="710">
        <f>0.05*'État des Résultats'!T14</f>
        <v>2780.2125000000005</v>
      </c>
      <c r="U14" s="715">
        <f>T14/'État des Résultats'!T14</f>
        <v>0.05</v>
      </c>
      <c r="W14" s="710">
        <f>0.05*'État des Résultats'!W14</f>
        <v>3830.5150000000003</v>
      </c>
      <c r="X14" s="715">
        <f>W14/'État des Résultats'!W14</f>
        <v>0.05</v>
      </c>
      <c r="Z14" s="710">
        <f>0.05*'État des Résultats'!Z14</f>
        <v>3447.4635000000003</v>
      </c>
      <c r="AA14" s="715">
        <f>Z14/'État des Résultats'!Z14</f>
        <v>0.05</v>
      </c>
      <c r="AC14" s="710">
        <f>0.05*'État des Résultats'!AC14</f>
        <v>2224.17</v>
      </c>
      <c r="AD14" s="715">
        <f>AC14/'État des Résultats'!AC14</f>
        <v>0.05</v>
      </c>
      <c r="AF14" s="710">
        <f>0.05*'État des Résultats'!AF14</f>
        <v>2106.78325</v>
      </c>
      <c r="AG14" s="715">
        <f>AF14/'État des Résultats'!AF14</f>
        <v>4.9999999999999996E-2</v>
      </c>
      <c r="AI14" s="710">
        <f>0.05*'État des Résultats'!AI14</f>
        <v>1853.4750000000001</v>
      </c>
      <c r="AJ14" s="715">
        <f>AI14/'État des Résultats'!AI14</f>
        <v>0.05</v>
      </c>
      <c r="AL14" s="710">
        <f>0.05*'État des Résultats'!AL14</f>
        <v>2298.3090000000007</v>
      </c>
      <c r="AM14" s="715">
        <f>AL14/'État des Résultats'!AL14</f>
        <v>0.05</v>
      </c>
      <c r="AP14" s="712">
        <f>SUM(+$AL14+$AI14+$AF14+$AC14+$Z14+$W14+$T14+$Q14+$N14+$K14+$H14+$E14)</f>
        <v>28265.493750000001</v>
      </c>
      <c r="AQ14" s="713">
        <f>AP14/'État des Résultats'!$AP$14</f>
        <v>0.05</v>
      </c>
    </row>
    <row r="15" spans="2:56" x14ac:dyDescent="0.15">
      <c r="B15" s="709">
        <v>7315</v>
      </c>
      <c r="C15" s="394" t="s">
        <v>251</v>
      </c>
      <c r="E15" s="710">
        <v>0</v>
      </c>
      <c r="F15" s="715">
        <f>E15/'État des Résultats'!E14</f>
        <v>0</v>
      </c>
      <c r="G15" s="716" t="s">
        <v>2</v>
      </c>
      <c r="H15" s="710">
        <v>0</v>
      </c>
      <c r="I15" s="715">
        <f>H15/'État des Résultats'!H14</f>
        <v>0</v>
      </c>
      <c r="K15" s="710">
        <v>0</v>
      </c>
      <c r="L15" s="715">
        <f>K15/'État des Résultats'!K14</f>
        <v>0</v>
      </c>
      <c r="N15" s="710">
        <v>0</v>
      </c>
      <c r="O15" s="715">
        <f>N15/'État des Résultats'!N14</f>
        <v>0</v>
      </c>
      <c r="Q15" s="710">
        <v>0</v>
      </c>
      <c r="R15" s="715">
        <f>Q15/'État des Résultats'!Q14</f>
        <v>0</v>
      </c>
      <c r="T15" s="710">
        <v>0</v>
      </c>
      <c r="U15" s="715">
        <f>T15/'État des Résultats'!T14</f>
        <v>0</v>
      </c>
      <c r="W15" s="710">
        <v>0</v>
      </c>
      <c r="X15" s="715">
        <f>W15/'État des Résultats'!W14</f>
        <v>0</v>
      </c>
      <c r="Z15" s="710">
        <v>0</v>
      </c>
      <c r="AA15" s="715">
        <f>Z15/'État des Résultats'!Z14</f>
        <v>0</v>
      </c>
      <c r="AC15" s="710">
        <v>0</v>
      </c>
      <c r="AD15" s="715">
        <f>AC15/'État des Résultats'!AC14</f>
        <v>0</v>
      </c>
      <c r="AF15" s="710">
        <v>0</v>
      </c>
      <c r="AG15" s="715">
        <f>AF15/'État des Résultats'!AF14</f>
        <v>0</v>
      </c>
      <c r="AI15" s="710">
        <v>0</v>
      </c>
      <c r="AJ15" s="715">
        <f>AI15/'État des Résultats'!AI14</f>
        <v>0</v>
      </c>
      <c r="AL15" s="710">
        <v>0</v>
      </c>
      <c r="AM15" s="715">
        <f>AL15/'État des Résultats'!AL14</f>
        <v>0</v>
      </c>
      <c r="AP15" s="712">
        <f t="shared" ref="AP15:AP24" si="0">SUM(+$AL15+$AI15+$AF15+$AC15+$Z15+$W15+$T15+$Q15+$N15+$K15+$H15+$E15)</f>
        <v>0</v>
      </c>
      <c r="AQ15" s="713">
        <f>AP15/'État des Résultats'!$AP$14</f>
        <v>0</v>
      </c>
    </row>
    <row r="16" spans="2:56" x14ac:dyDescent="0.15">
      <c r="B16" s="709">
        <v>7320</v>
      </c>
      <c r="C16" s="394" t="s">
        <v>252</v>
      </c>
      <c r="E16" s="710">
        <v>0</v>
      </c>
      <c r="F16" s="715">
        <f>E16/'État des Résultats'!E14</f>
        <v>0</v>
      </c>
      <c r="H16" s="710">
        <v>0</v>
      </c>
      <c r="I16" s="715">
        <f>H16/'État des Résultats'!H14</f>
        <v>0</v>
      </c>
      <c r="K16" s="710">
        <v>0</v>
      </c>
      <c r="L16" s="715">
        <f>K16/'État des Résultats'!K14</f>
        <v>0</v>
      </c>
      <c r="N16" s="710">
        <v>0</v>
      </c>
      <c r="O16" s="715">
        <f>N16/'État des Résultats'!N14</f>
        <v>0</v>
      </c>
      <c r="Q16" s="710">
        <v>0</v>
      </c>
      <c r="R16" s="715">
        <f>Q16/'État des Résultats'!Q14</f>
        <v>0</v>
      </c>
      <c r="T16" s="710">
        <v>0</v>
      </c>
      <c r="U16" s="715">
        <f>T16/'État des Résultats'!T14</f>
        <v>0</v>
      </c>
      <c r="W16" s="710">
        <v>0</v>
      </c>
      <c r="X16" s="715">
        <f>W16/'État des Résultats'!W14</f>
        <v>0</v>
      </c>
      <c r="Z16" s="710">
        <v>0</v>
      </c>
      <c r="AA16" s="715">
        <f>Z16/'État des Résultats'!Z14</f>
        <v>0</v>
      </c>
      <c r="AC16" s="710">
        <v>0</v>
      </c>
      <c r="AD16" s="715">
        <f>AC16/'État des Résultats'!AC14</f>
        <v>0</v>
      </c>
      <c r="AF16" s="710">
        <v>0</v>
      </c>
      <c r="AG16" s="715">
        <f>AF16/'État des Résultats'!AF14</f>
        <v>0</v>
      </c>
      <c r="AI16" s="710">
        <v>0</v>
      </c>
      <c r="AJ16" s="715">
        <f>AI16/'État des Résultats'!AI14</f>
        <v>0</v>
      </c>
      <c r="AL16" s="710">
        <v>0</v>
      </c>
      <c r="AM16" s="715">
        <f>AL16/'État des Résultats'!AL14</f>
        <v>0</v>
      </c>
      <c r="AP16" s="712">
        <f t="shared" si="0"/>
        <v>0</v>
      </c>
      <c r="AQ16" s="713">
        <f>AP16/'État des Résultats'!$AP$14</f>
        <v>0</v>
      </c>
    </row>
    <row r="17" spans="2:47" x14ac:dyDescent="0.15">
      <c r="B17" s="709">
        <v>7325</v>
      </c>
      <c r="C17" s="394" t="s">
        <v>253</v>
      </c>
      <c r="E17" s="710">
        <v>0</v>
      </c>
      <c r="F17" s="715">
        <f>E17/'État des Résultats'!E14</f>
        <v>0</v>
      </c>
      <c r="H17" s="710">
        <v>0</v>
      </c>
      <c r="I17" s="715">
        <f>H17/'État des Résultats'!H14</f>
        <v>0</v>
      </c>
      <c r="K17" s="710">
        <v>0</v>
      </c>
      <c r="L17" s="715">
        <f>K17/'État des Résultats'!K14</f>
        <v>0</v>
      </c>
      <c r="N17" s="710">
        <v>0</v>
      </c>
      <c r="O17" s="715">
        <f>N17/'État des Résultats'!N14</f>
        <v>0</v>
      </c>
      <c r="Q17" s="710">
        <v>0</v>
      </c>
      <c r="R17" s="715">
        <f>Q17/'État des Résultats'!Q14</f>
        <v>0</v>
      </c>
      <c r="T17" s="710">
        <v>0</v>
      </c>
      <c r="U17" s="715">
        <f>T17/'État des Résultats'!T14</f>
        <v>0</v>
      </c>
      <c r="W17" s="710">
        <v>0</v>
      </c>
      <c r="X17" s="715">
        <f>W17/'État des Résultats'!W14</f>
        <v>0</v>
      </c>
      <c r="Z17" s="710">
        <v>0</v>
      </c>
      <c r="AA17" s="715">
        <f>Z17/'État des Résultats'!Z14</f>
        <v>0</v>
      </c>
      <c r="AC17" s="710">
        <v>0</v>
      </c>
      <c r="AD17" s="715">
        <f>AC17/'État des Résultats'!AC14</f>
        <v>0</v>
      </c>
      <c r="AF17" s="710">
        <v>0</v>
      </c>
      <c r="AG17" s="715">
        <f>AF17/'État des Résultats'!AF14</f>
        <v>0</v>
      </c>
      <c r="AI17" s="710">
        <v>0</v>
      </c>
      <c r="AJ17" s="715">
        <f>AI17/'État des Résultats'!AI14</f>
        <v>0</v>
      </c>
      <c r="AL17" s="710">
        <v>0</v>
      </c>
      <c r="AM17" s="715">
        <f>AL17/'État des Résultats'!AL14</f>
        <v>0</v>
      </c>
      <c r="AP17" s="712">
        <f t="shared" si="0"/>
        <v>0</v>
      </c>
      <c r="AQ17" s="713">
        <f>AP17/'État des Résultats'!$AP$14</f>
        <v>0</v>
      </c>
    </row>
    <row r="18" spans="2:47" x14ac:dyDescent="0.15">
      <c r="B18" s="709">
        <v>7330</v>
      </c>
      <c r="C18" s="394" t="s">
        <v>254</v>
      </c>
      <c r="E18" s="710">
        <v>0</v>
      </c>
      <c r="F18" s="715">
        <f>E18/'État des Résultats'!E14</f>
        <v>0</v>
      </c>
      <c r="H18" s="710">
        <v>0</v>
      </c>
      <c r="I18" s="715">
        <f>H18/'État des Résultats'!H14</f>
        <v>0</v>
      </c>
      <c r="K18" s="710">
        <v>0</v>
      </c>
      <c r="L18" s="715">
        <f>K18/'État des Résultats'!K14</f>
        <v>0</v>
      </c>
      <c r="N18" s="710">
        <v>0</v>
      </c>
      <c r="O18" s="715">
        <f>N18/'État des Résultats'!N14</f>
        <v>0</v>
      </c>
      <c r="Q18" s="710">
        <v>0</v>
      </c>
      <c r="R18" s="715">
        <f>Q18/'État des Résultats'!Q14</f>
        <v>0</v>
      </c>
      <c r="T18" s="710">
        <v>0</v>
      </c>
      <c r="U18" s="715">
        <f>T18/'État des Résultats'!T14</f>
        <v>0</v>
      </c>
      <c r="W18" s="710">
        <v>0</v>
      </c>
      <c r="X18" s="715">
        <f>W18/'État des Résultats'!W14</f>
        <v>0</v>
      </c>
      <c r="Z18" s="710">
        <v>0</v>
      </c>
      <c r="AA18" s="715">
        <f>Z18/'État des Résultats'!Z14</f>
        <v>0</v>
      </c>
      <c r="AC18" s="710">
        <v>0</v>
      </c>
      <c r="AD18" s="715">
        <f>AC18/'État des Résultats'!AC14</f>
        <v>0</v>
      </c>
      <c r="AF18" s="710">
        <v>0</v>
      </c>
      <c r="AG18" s="715">
        <f>AF18/'État des Résultats'!AF14</f>
        <v>0</v>
      </c>
      <c r="AI18" s="710">
        <v>0</v>
      </c>
      <c r="AJ18" s="715">
        <f>AI18/'État des Résultats'!AI14</f>
        <v>0</v>
      </c>
      <c r="AL18" s="710">
        <v>0</v>
      </c>
      <c r="AM18" s="715">
        <f>AL18/'État des Résultats'!AL14</f>
        <v>0</v>
      </c>
      <c r="AP18" s="712">
        <f t="shared" si="0"/>
        <v>0</v>
      </c>
      <c r="AQ18" s="713">
        <f>AP18/'État des Résultats'!$AP$14</f>
        <v>0</v>
      </c>
      <c r="AS18" s="210"/>
    </row>
    <row r="19" spans="2:47" x14ac:dyDescent="0.15">
      <c r="B19" s="709">
        <v>7335</v>
      </c>
      <c r="C19" s="394" t="s">
        <v>255</v>
      </c>
      <c r="E19" s="710">
        <v>0</v>
      </c>
      <c r="F19" s="715">
        <f>E19/'État des Résultats'!E14</f>
        <v>0</v>
      </c>
      <c r="H19" s="710">
        <v>0</v>
      </c>
      <c r="I19" s="715">
        <f>H19/'État des Résultats'!H14</f>
        <v>0</v>
      </c>
      <c r="K19" s="710">
        <v>0</v>
      </c>
      <c r="L19" s="715">
        <f>K19/'État des Résultats'!K14</f>
        <v>0</v>
      </c>
      <c r="N19" s="710">
        <v>0</v>
      </c>
      <c r="O19" s="715">
        <f>N19/'État des Résultats'!N14</f>
        <v>0</v>
      </c>
      <c r="Q19" s="710">
        <v>0</v>
      </c>
      <c r="R19" s="715">
        <f>Q19/'État des Résultats'!Q14</f>
        <v>0</v>
      </c>
      <c r="T19" s="710">
        <v>0</v>
      </c>
      <c r="U19" s="715">
        <f>T19/'État des Résultats'!T14</f>
        <v>0</v>
      </c>
      <c r="W19" s="710">
        <v>0</v>
      </c>
      <c r="X19" s="715">
        <f>W19/'État des Résultats'!W14</f>
        <v>0</v>
      </c>
      <c r="Z19" s="710">
        <v>0</v>
      </c>
      <c r="AA19" s="715">
        <f>Z19/'État des Résultats'!Z14</f>
        <v>0</v>
      </c>
      <c r="AC19" s="710">
        <v>0</v>
      </c>
      <c r="AD19" s="715">
        <f>AC19/'État des Résultats'!AC14</f>
        <v>0</v>
      </c>
      <c r="AF19" s="710">
        <v>0</v>
      </c>
      <c r="AG19" s="715">
        <f>AF19/'État des Résultats'!AF14</f>
        <v>0</v>
      </c>
      <c r="AI19" s="710">
        <v>0</v>
      </c>
      <c r="AJ19" s="715">
        <f>AI19/'État des Résultats'!AI14</f>
        <v>0</v>
      </c>
      <c r="AL19" s="710">
        <v>0</v>
      </c>
      <c r="AM19" s="715">
        <f>AL19/'État des Résultats'!AL14</f>
        <v>0</v>
      </c>
      <c r="AP19" s="712">
        <f t="shared" si="0"/>
        <v>0</v>
      </c>
      <c r="AQ19" s="713">
        <f>AP19/'État des Résultats'!$AP$14</f>
        <v>0</v>
      </c>
    </row>
    <row r="20" spans="2:47" x14ac:dyDescent="0.15">
      <c r="B20" s="709">
        <v>7340</v>
      </c>
      <c r="C20" s="394" t="s">
        <v>256</v>
      </c>
      <c r="E20" s="710">
        <v>0</v>
      </c>
      <c r="F20" s="715">
        <f>E20/'État des Résultats'!E14</f>
        <v>0</v>
      </c>
      <c r="H20" s="710">
        <v>0</v>
      </c>
      <c r="I20" s="715">
        <f>H20/'État des Résultats'!H14</f>
        <v>0</v>
      </c>
      <c r="K20" s="710">
        <v>0</v>
      </c>
      <c r="L20" s="715">
        <f>K20/'État des Résultats'!K14</f>
        <v>0</v>
      </c>
      <c r="N20" s="710">
        <v>0</v>
      </c>
      <c r="O20" s="715">
        <f>N20/'État des Résultats'!N14</f>
        <v>0</v>
      </c>
      <c r="Q20" s="710">
        <v>0</v>
      </c>
      <c r="R20" s="715">
        <f>Q20/'État des Résultats'!Q14</f>
        <v>0</v>
      </c>
      <c r="T20" s="710">
        <v>0</v>
      </c>
      <c r="U20" s="715">
        <f>T20/'État des Résultats'!T14</f>
        <v>0</v>
      </c>
      <c r="W20" s="710">
        <v>0</v>
      </c>
      <c r="X20" s="715">
        <f>W20/'État des Résultats'!W14</f>
        <v>0</v>
      </c>
      <c r="Z20" s="710">
        <v>0</v>
      </c>
      <c r="AA20" s="715">
        <f>Z20/'État des Résultats'!Z14</f>
        <v>0</v>
      </c>
      <c r="AC20" s="710">
        <v>0</v>
      </c>
      <c r="AD20" s="715">
        <f>AC20/'État des Résultats'!AC14</f>
        <v>0</v>
      </c>
      <c r="AF20" s="710">
        <v>0</v>
      </c>
      <c r="AG20" s="715">
        <f>AF20/'État des Résultats'!AF14</f>
        <v>0</v>
      </c>
      <c r="AI20" s="710">
        <v>0</v>
      </c>
      <c r="AJ20" s="715">
        <f>AI20/'État des Résultats'!AI14</f>
        <v>0</v>
      </c>
      <c r="AL20" s="710">
        <v>0</v>
      </c>
      <c r="AM20" s="715">
        <f>AL20/'État des Résultats'!AL14</f>
        <v>0</v>
      </c>
      <c r="AP20" s="712">
        <f t="shared" si="0"/>
        <v>0</v>
      </c>
      <c r="AQ20" s="713">
        <f>AP20/'État des Résultats'!$AP$14</f>
        <v>0</v>
      </c>
    </row>
    <row r="21" spans="2:47" x14ac:dyDescent="0.15">
      <c r="B21" s="709">
        <v>7345</v>
      </c>
      <c r="C21" s="394" t="s">
        <v>257</v>
      </c>
      <c r="E21" s="710">
        <v>0</v>
      </c>
      <c r="F21" s="715">
        <f>E21/'État des Résultats'!E14</f>
        <v>0</v>
      </c>
      <c r="H21" s="710">
        <v>0</v>
      </c>
      <c r="I21" s="715">
        <f>H21/'État des Résultats'!H14</f>
        <v>0</v>
      </c>
      <c r="K21" s="710">
        <v>0</v>
      </c>
      <c r="L21" s="715">
        <f>K21/'État des Résultats'!K14</f>
        <v>0</v>
      </c>
      <c r="N21" s="710">
        <v>0</v>
      </c>
      <c r="O21" s="715">
        <f>N21/'État des Résultats'!N14</f>
        <v>0</v>
      </c>
      <c r="Q21" s="710">
        <v>0</v>
      </c>
      <c r="R21" s="715">
        <f>Q21/'État des Résultats'!Q14</f>
        <v>0</v>
      </c>
      <c r="T21" s="710">
        <v>0</v>
      </c>
      <c r="U21" s="715">
        <f>T21/'État des Résultats'!T14</f>
        <v>0</v>
      </c>
      <c r="W21" s="710">
        <v>0</v>
      </c>
      <c r="X21" s="715">
        <f>W21/'État des Résultats'!W14</f>
        <v>0</v>
      </c>
      <c r="Z21" s="710">
        <v>0</v>
      </c>
      <c r="AA21" s="715">
        <f>Z21/'État des Résultats'!Z14</f>
        <v>0</v>
      </c>
      <c r="AC21" s="710">
        <v>0</v>
      </c>
      <c r="AD21" s="715">
        <f>AC21/'État des Résultats'!AC14</f>
        <v>0</v>
      </c>
      <c r="AF21" s="710">
        <v>0</v>
      </c>
      <c r="AG21" s="715">
        <f>AF21/'État des Résultats'!AF14</f>
        <v>0</v>
      </c>
      <c r="AI21" s="710">
        <v>0</v>
      </c>
      <c r="AJ21" s="715">
        <f>AI21/'État des Résultats'!AI14</f>
        <v>0</v>
      </c>
      <c r="AL21" s="710">
        <v>0</v>
      </c>
      <c r="AM21" s="715">
        <f>AL21/'État des Résultats'!AL14</f>
        <v>0</v>
      </c>
      <c r="AP21" s="712">
        <f t="shared" si="0"/>
        <v>0</v>
      </c>
      <c r="AQ21" s="713">
        <f>AP21/'État des Résultats'!$AP$14</f>
        <v>0</v>
      </c>
    </row>
    <row r="22" spans="2:47" x14ac:dyDescent="0.15">
      <c r="B22" s="709">
        <v>7350</v>
      </c>
      <c r="C22" s="394" t="s">
        <v>258</v>
      </c>
      <c r="E22" s="710">
        <v>0</v>
      </c>
      <c r="F22" s="715">
        <f>E22/'État des Résultats'!E14</f>
        <v>0</v>
      </c>
      <c r="H22" s="710">
        <v>0</v>
      </c>
      <c r="I22" s="715">
        <f>H22/'État des Résultats'!H14</f>
        <v>0</v>
      </c>
      <c r="K22" s="710">
        <v>0</v>
      </c>
      <c r="L22" s="715">
        <f>K22/'État des Résultats'!K14</f>
        <v>0</v>
      </c>
      <c r="N22" s="710">
        <v>0</v>
      </c>
      <c r="O22" s="715">
        <f>N22/'État des Résultats'!N14</f>
        <v>0</v>
      </c>
      <c r="Q22" s="710">
        <v>0</v>
      </c>
      <c r="R22" s="715">
        <f>Q22/'État des Résultats'!Q14</f>
        <v>0</v>
      </c>
      <c r="T22" s="710">
        <v>0</v>
      </c>
      <c r="U22" s="715">
        <f>T22/'État des Résultats'!T14</f>
        <v>0</v>
      </c>
      <c r="W22" s="710">
        <v>0</v>
      </c>
      <c r="X22" s="715">
        <f>W22/'État des Résultats'!W14</f>
        <v>0</v>
      </c>
      <c r="Z22" s="710">
        <v>0</v>
      </c>
      <c r="AA22" s="715">
        <f>Z22/'État des Résultats'!Z14</f>
        <v>0</v>
      </c>
      <c r="AC22" s="710">
        <v>0</v>
      </c>
      <c r="AD22" s="715">
        <f>AC22/'État des Résultats'!AC14</f>
        <v>0</v>
      </c>
      <c r="AF22" s="710">
        <v>0</v>
      </c>
      <c r="AG22" s="715">
        <f>AF22/'État des Résultats'!AF14</f>
        <v>0</v>
      </c>
      <c r="AI22" s="710">
        <v>0</v>
      </c>
      <c r="AJ22" s="715">
        <f>AI22/'État des Résultats'!AI14</f>
        <v>0</v>
      </c>
      <c r="AL22" s="710">
        <v>0</v>
      </c>
      <c r="AM22" s="715">
        <f>AL22/'État des Résultats'!AL14</f>
        <v>0</v>
      </c>
      <c r="AP22" s="712">
        <f t="shared" si="0"/>
        <v>0</v>
      </c>
      <c r="AQ22" s="713">
        <f>AP22/'État des Résultats'!$AP$14</f>
        <v>0</v>
      </c>
    </row>
    <row r="23" spans="2:47" x14ac:dyDescent="0.15">
      <c r="B23" s="709">
        <v>7360</v>
      </c>
      <c r="C23" s="394" t="s">
        <v>259</v>
      </c>
      <c r="E23" s="710">
        <v>0</v>
      </c>
      <c r="F23" s="715">
        <f>E23/'État des Résultats'!E14</f>
        <v>0</v>
      </c>
      <c r="H23" s="710">
        <v>0</v>
      </c>
      <c r="I23" s="715">
        <f>H23/'État des Résultats'!H14</f>
        <v>0</v>
      </c>
      <c r="K23" s="710">
        <v>0</v>
      </c>
      <c r="L23" s="715">
        <f>K23/'État des Résultats'!K14</f>
        <v>0</v>
      </c>
      <c r="N23" s="710">
        <v>0</v>
      </c>
      <c r="O23" s="715">
        <f>N23/'État des Résultats'!N14</f>
        <v>0</v>
      </c>
      <c r="Q23" s="710">
        <v>0</v>
      </c>
      <c r="R23" s="715">
        <f>Q23/'État des Résultats'!Q14</f>
        <v>0</v>
      </c>
      <c r="T23" s="710">
        <v>0</v>
      </c>
      <c r="U23" s="715">
        <f>T23/'État des Résultats'!T14</f>
        <v>0</v>
      </c>
      <c r="W23" s="710">
        <v>0</v>
      </c>
      <c r="X23" s="715">
        <f>W23/'État des Résultats'!W14</f>
        <v>0</v>
      </c>
      <c r="Z23" s="710">
        <v>0</v>
      </c>
      <c r="AA23" s="715">
        <f>Z23/'État des Résultats'!Z14</f>
        <v>0</v>
      </c>
      <c r="AC23" s="710">
        <v>0</v>
      </c>
      <c r="AD23" s="715">
        <f>AC23/'État des Résultats'!AC14</f>
        <v>0</v>
      </c>
      <c r="AF23" s="710">
        <v>0</v>
      </c>
      <c r="AG23" s="715">
        <f>AF23/'État des Résultats'!AF14</f>
        <v>0</v>
      </c>
      <c r="AI23" s="710">
        <v>0</v>
      </c>
      <c r="AJ23" s="715">
        <f>AI23/'État des Résultats'!AI14</f>
        <v>0</v>
      </c>
      <c r="AL23" s="710">
        <v>0</v>
      </c>
      <c r="AM23" s="715">
        <f>AL23/'État des Résultats'!AL14</f>
        <v>0</v>
      </c>
      <c r="AP23" s="712">
        <f t="shared" si="0"/>
        <v>0</v>
      </c>
      <c r="AQ23" s="713">
        <f>AP23/'État des Résultats'!$AP$14</f>
        <v>0</v>
      </c>
    </row>
    <row r="24" spans="2:47" x14ac:dyDescent="0.15">
      <c r="B24" s="709">
        <v>7399</v>
      </c>
      <c r="C24" s="394" t="s">
        <v>260</v>
      </c>
      <c r="E24" s="710">
        <v>0</v>
      </c>
      <c r="F24" s="715">
        <f>E24/'État des Résultats'!E14</f>
        <v>0</v>
      </c>
      <c r="H24" s="710">
        <v>0</v>
      </c>
      <c r="I24" s="715">
        <f>H24/'État des Résultats'!H14</f>
        <v>0</v>
      </c>
      <c r="K24" s="710">
        <v>0</v>
      </c>
      <c r="L24" s="715">
        <f>K24/'État des Résultats'!K14</f>
        <v>0</v>
      </c>
      <c r="N24" s="710">
        <v>0</v>
      </c>
      <c r="O24" s="715">
        <f>N24/'État des Résultats'!N14</f>
        <v>0</v>
      </c>
      <c r="Q24" s="710">
        <v>0</v>
      </c>
      <c r="R24" s="715">
        <f>Q24/'État des Résultats'!Q14</f>
        <v>0</v>
      </c>
      <c r="T24" s="710">
        <v>0</v>
      </c>
      <c r="U24" s="715">
        <f>T24/'État des Résultats'!T14</f>
        <v>0</v>
      </c>
      <c r="W24" s="710">
        <v>0</v>
      </c>
      <c r="X24" s="715">
        <f>W24/'État des Résultats'!W14</f>
        <v>0</v>
      </c>
      <c r="Z24" s="710">
        <v>0</v>
      </c>
      <c r="AA24" s="715">
        <f>Z24/'État des Résultats'!Z14</f>
        <v>0</v>
      </c>
      <c r="AC24" s="710">
        <v>0</v>
      </c>
      <c r="AD24" s="715">
        <f>AC24/'État des Résultats'!AC14</f>
        <v>0</v>
      </c>
      <c r="AF24" s="710">
        <v>0</v>
      </c>
      <c r="AG24" s="715">
        <f>AF24/'État des Résultats'!AF14</f>
        <v>0</v>
      </c>
      <c r="AI24" s="710">
        <v>0</v>
      </c>
      <c r="AJ24" s="715">
        <f>AI24/'État des Résultats'!AI14</f>
        <v>0</v>
      </c>
      <c r="AL24" s="710">
        <v>0</v>
      </c>
      <c r="AM24" s="715">
        <f>AL24/'État des Résultats'!AL14</f>
        <v>0</v>
      </c>
      <c r="AP24" s="712">
        <f t="shared" si="0"/>
        <v>0</v>
      </c>
      <c r="AQ24" s="713">
        <f>AP24/'État des Résultats'!$AP$14</f>
        <v>0</v>
      </c>
    </row>
    <row r="25" spans="2:47" ht="14" thickBot="1" x14ac:dyDescent="0.2">
      <c r="B25" s="739" t="s">
        <v>2</v>
      </c>
      <c r="C25" s="740"/>
      <c r="D25" s="741"/>
      <c r="E25" s="742" t="s">
        <v>2</v>
      </c>
      <c r="F25" s="717" t="s">
        <v>2</v>
      </c>
      <c r="G25" s="741"/>
      <c r="H25" s="742" t="s">
        <v>2</v>
      </c>
      <c r="I25" s="717" t="s">
        <v>2</v>
      </c>
      <c r="J25" s="741"/>
      <c r="K25" s="742" t="s">
        <v>2</v>
      </c>
      <c r="L25" s="717" t="s">
        <v>2</v>
      </c>
      <c r="M25" s="741"/>
      <c r="N25" s="742"/>
      <c r="O25" s="717" t="s">
        <v>2</v>
      </c>
      <c r="P25" s="741"/>
      <c r="Q25" s="742" t="s">
        <v>2</v>
      </c>
      <c r="R25" s="717" t="s">
        <v>2</v>
      </c>
      <c r="S25" s="743"/>
      <c r="T25" s="742" t="s">
        <v>2</v>
      </c>
      <c r="U25" s="717" t="s">
        <v>2</v>
      </c>
      <c r="V25" s="741"/>
      <c r="W25" s="742" t="s">
        <v>2</v>
      </c>
      <c r="X25" s="717" t="s">
        <v>2</v>
      </c>
      <c r="Y25" s="741"/>
      <c r="Z25" s="742" t="s">
        <v>2</v>
      </c>
      <c r="AA25" s="717" t="s">
        <v>2</v>
      </c>
      <c r="AB25" s="741"/>
      <c r="AC25" s="742" t="s">
        <v>2</v>
      </c>
      <c r="AD25" s="717" t="s">
        <v>2</v>
      </c>
      <c r="AE25" s="741"/>
      <c r="AF25" s="742" t="s">
        <v>2</v>
      </c>
      <c r="AG25" s="717" t="str">
        <f>+AD25</f>
        <v xml:space="preserve"> </v>
      </c>
      <c r="AH25" s="741"/>
      <c r="AI25" s="742" t="s">
        <v>2</v>
      </c>
      <c r="AJ25" s="717" t="str">
        <f>+AG25</f>
        <v xml:space="preserve"> </v>
      </c>
      <c r="AK25" s="741"/>
      <c r="AL25" s="742" t="s">
        <v>2</v>
      </c>
      <c r="AM25" s="717" t="str">
        <f>+AJ25</f>
        <v xml:space="preserve"> </v>
      </c>
      <c r="AN25" s="741"/>
      <c r="AO25" s="741"/>
      <c r="AP25" s="712" t="s">
        <v>2</v>
      </c>
      <c r="AQ25" s="718" t="s">
        <v>2</v>
      </c>
      <c r="AR25" s="741"/>
    </row>
    <row r="26" spans="2:47" ht="15" thickTop="1" thickBot="1" x14ac:dyDescent="0.2">
      <c r="B26" s="499">
        <v>7300</v>
      </c>
      <c r="C26" s="500" t="s">
        <v>261</v>
      </c>
      <c r="D26" s="214"/>
      <c r="E26" s="719">
        <f>SUM(E13:E25)</f>
        <v>1915.2575000000002</v>
      </c>
      <c r="F26" s="720">
        <f>SUM(F13:F24)</f>
        <v>0.05</v>
      </c>
      <c r="G26" s="214"/>
      <c r="H26" s="721">
        <f>SUM(H13:H25)</f>
        <v>1556.9190000000001</v>
      </c>
      <c r="I26" s="720">
        <f>SUM(I13:I24)</f>
        <v>0.05</v>
      </c>
      <c r="J26" s="214"/>
      <c r="K26" s="719">
        <f>SUM(K13:K25)</f>
        <v>1915.2575000000002</v>
      </c>
      <c r="L26" s="720">
        <f>SUM(L13:L24)</f>
        <v>0.05</v>
      </c>
      <c r="M26" s="214"/>
      <c r="N26" s="719">
        <f>SUM(N13:N25)</f>
        <v>2038.8225000000002</v>
      </c>
      <c r="O26" s="720">
        <f>SUM(O13:O24)</f>
        <v>0.05</v>
      </c>
      <c r="P26" s="214"/>
      <c r="Q26" s="719">
        <f>SUM(Q13:Q25)</f>
        <v>2298.3090000000007</v>
      </c>
      <c r="R26" s="720">
        <f>SUM(R13:R24)</f>
        <v>0.05</v>
      </c>
      <c r="S26" s="214"/>
      <c r="T26" s="719">
        <f>SUM(T13:T25)</f>
        <v>2780.2125000000005</v>
      </c>
      <c r="U26" s="720">
        <f>SUM(U13:U24)</f>
        <v>0.05</v>
      </c>
      <c r="V26" s="214"/>
      <c r="W26" s="719">
        <f>SUM(W13:W25)</f>
        <v>3830.5150000000003</v>
      </c>
      <c r="X26" s="720">
        <f>SUM(X13:X24)</f>
        <v>0.05</v>
      </c>
      <c r="Y26" s="214"/>
      <c r="Z26" s="719">
        <f>SUM(Z13:Z25)</f>
        <v>3447.4635000000003</v>
      </c>
      <c r="AA26" s="720">
        <f>SUM(AA13:AA24)</f>
        <v>0.05</v>
      </c>
      <c r="AB26" s="214"/>
      <c r="AC26" s="719">
        <f>SUM(AC13:AC25)</f>
        <v>2224.17</v>
      </c>
      <c r="AD26" s="720">
        <f>SUM(AD13:AD24)</f>
        <v>0.05</v>
      </c>
      <c r="AE26" s="214"/>
      <c r="AF26" s="719">
        <f>SUM(AF13:AF25)</f>
        <v>2106.78325</v>
      </c>
      <c r="AG26" s="720">
        <f>SUM(AG13:AG24)</f>
        <v>4.9999999999999996E-2</v>
      </c>
      <c r="AH26" s="214"/>
      <c r="AI26" s="719">
        <f>SUM(AI13:AI25)</f>
        <v>1853.4750000000001</v>
      </c>
      <c r="AJ26" s="720">
        <f>SUM(AJ13:AJ24)</f>
        <v>0.05</v>
      </c>
      <c r="AK26" s="214"/>
      <c r="AL26" s="719">
        <f>SUM(AL13:AL25)</f>
        <v>2298.3090000000007</v>
      </c>
      <c r="AM26" s="720">
        <f>SUM(AM13:AM24)</f>
        <v>0.05</v>
      </c>
      <c r="AN26" s="214"/>
      <c r="AO26" s="214"/>
      <c r="AP26" s="719">
        <f>SUM(AP13:AP25)</f>
        <v>28265.493750000001</v>
      </c>
      <c r="AQ26" s="720">
        <f>SUM(AQ13:AQ24)</f>
        <v>0.05</v>
      </c>
      <c r="AR26" s="214"/>
      <c r="AS26" s="214"/>
      <c r="AT26" s="214"/>
      <c r="AU26" s="252"/>
    </row>
    <row r="27" spans="2:47" ht="14" thickTop="1" x14ac:dyDescent="0.15">
      <c r="L27" s="316"/>
      <c r="O27" s="316"/>
      <c r="R27" s="316"/>
      <c r="U27" s="316"/>
      <c r="X27" s="316"/>
      <c r="AA27" s="316"/>
      <c r="AD27" s="316"/>
      <c r="AG27" s="316"/>
      <c r="AJ27" s="316"/>
      <c r="AM27" s="316"/>
      <c r="AQ27" s="316"/>
    </row>
    <row r="28" spans="2:47" x14ac:dyDescent="0.15">
      <c r="R28" s="316"/>
      <c r="U28" s="316"/>
      <c r="X28" s="316"/>
      <c r="AD28" s="316"/>
      <c r="AG28" s="316"/>
      <c r="AJ28" s="316"/>
      <c r="AM28" s="316"/>
    </row>
    <row r="29" spans="2:47" x14ac:dyDescent="0.15">
      <c r="U29" s="316"/>
      <c r="AG29" s="316"/>
      <c r="AJ29" s="316"/>
      <c r="AM29" s="316"/>
    </row>
    <row r="30" spans="2:47" x14ac:dyDescent="0.15">
      <c r="C30" s="161" t="s">
        <v>2</v>
      </c>
      <c r="E30" s="161" t="s">
        <v>2</v>
      </c>
      <c r="G30" s="161" t="s">
        <v>2</v>
      </c>
      <c r="H30" s="161" t="s">
        <v>2</v>
      </c>
      <c r="U30" s="316"/>
      <c r="AG30" s="316"/>
      <c r="AJ30" s="316"/>
      <c r="AM30" s="316"/>
    </row>
    <row r="31" spans="2:47" x14ac:dyDescent="0.15">
      <c r="H31" s="161" t="s">
        <v>2</v>
      </c>
      <c r="AG31" s="316"/>
      <c r="AJ31" s="316"/>
      <c r="AM31" s="316"/>
    </row>
    <row r="32" spans="2:47" x14ac:dyDescent="0.15">
      <c r="H32" s="161" t="s">
        <v>2</v>
      </c>
      <c r="AM32" s="316"/>
    </row>
    <row r="33" spans="8:69" x14ac:dyDescent="0.15">
      <c r="H33" s="161" t="s">
        <v>2</v>
      </c>
      <c r="BB33" s="170"/>
      <c r="BC33" s="170"/>
      <c r="BD33" s="170"/>
      <c r="BE33" s="170"/>
      <c r="BF33" s="170"/>
      <c r="BG33" s="170"/>
      <c r="BH33" s="170"/>
      <c r="BI33" s="170"/>
      <c r="BJ33" s="170"/>
      <c r="BK33" s="170"/>
      <c r="BL33" s="170"/>
      <c r="BM33" s="170"/>
      <c r="BN33" s="170"/>
      <c r="BO33" s="170"/>
      <c r="BP33" s="170"/>
      <c r="BQ33" s="170"/>
    </row>
    <row r="34" spans="8:69" x14ac:dyDescent="0.15">
      <c r="H34" s="161" t="s">
        <v>2</v>
      </c>
    </row>
    <row r="35" spans="8:69" x14ac:dyDescent="0.15">
      <c r="H35" s="161" t="s">
        <v>2</v>
      </c>
    </row>
    <row r="45" spans="8:69" x14ac:dyDescent="0.15">
      <c r="H45" s="722"/>
    </row>
  </sheetData>
  <sheetProtection algorithmName="SHA-512" hashValue="MdDVNX/Uwv5bAje7NtTq7pQlvDIef3IeWQrGHcR97xHtSIsY+LfIjGf7MnZF+UBLCt5m9d/7ngbHVh3hOhQH7w==" saltValue="YHlmNA+GA+IV73Rsq+4Eww=="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96583F5F-4FF8-BB42-8149-1BDD526C7D51}"/>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ignoredErrors>
    <ignoredError sqref="E14 H14 K14 N14 Q14 T14 W14 Z14 AC14 AF14 AI14 AL14"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Calendrier 2021</vt:lpstr>
      <vt:lpstr>Achalandage 2021</vt:lpstr>
      <vt:lpstr>% Occupation</vt:lpstr>
      <vt:lpstr>Formule pour le calcul D</vt:lpstr>
      <vt:lpstr>État des Résultats</vt:lpstr>
      <vt:lpstr>Coût marchandises vendues</vt:lpstr>
      <vt:lpstr> Total des coûts de MO</vt:lpstr>
      <vt:lpstr>Salaire (planification)</vt:lpstr>
      <vt:lpstr>Coût d'occupation </vt:lpstr>
      <vt:lpstr>Coût direct d'exploitation </vt:lpstr>
      <vt:lpstr>Musique &amp; Divertissement</vt:lpstr>
      <vt:lpstr>Mark &amp; Communication marketing</vt:lpstr>
      <vt:lpstr>Services publics</vt:lpstr>
      <vt:lpstr>Administration &amp; Frais généraux</vt:lpstr>
      <vt:lpstr>Entretien &amp; Réparation</vt:lpstr>
      <vt:lpstr>Frais financier</vt:lpstr>
      <vt:lpstr>' Total des coûts de MO'!Zone_d_impression</vt:lpstr>
      <vt:lpstr>'Administration &amp; Frais généraux'!Zone_d_impression</vt:lpstr>
      <vt:lpstr>'Coût d''occupation '!Zone_d_impression</vt:lpstr>
      <vt:lpstr>'Coût direct d''exploitation '!Zone_d_impression</vt:lpstr>
      <vt:lpstr>'Coût marchandises vendues'!Zone_d_impression</vt:lpstr>
      <vt:lpstr>'Entretien &amp; Réparation'!Zone_d_impression</vt:lpstr>
      <vt:lpstr>'État des Résultats'!Zone_d_impression</vt:lpstr>
      <vt:lpstr>'Frais financier'!Zone_d_impression</vt:lpstr>
      <vt:lpstr>'Mark &amp; Communication marketing'!Zone_d_impression</vt:lpstr>
      <vt:lpstr>'Musique &amp; Divertissement'!Zone_d_impression</vt:lpstr>
      <vt:lpstr>'Salaire (planification)'!Zone_d_impression</vt:lpstr>
      <vt:lpstr>'Services publics'!Zone_d_impression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Microsoft Office User</cp:lastModifiedBy>
  <dcterms:created xsi:type="dcterms:W3CDTF">2017-10-22T15:36:14Z</dcterms:created>
  <dcterms:modified xsi:type="dcterms:W3CDTF">2021-03-03T19:09:52Z</dcterms:modified>
</cp:coreProperties>
</file>